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040" windowHeight="11640" activeTab="0"/>
  </bookViews>
  <sheets>
    <sheet name="Situation" sheetId="1" r:id="rId1"/>
    <sheet name="Arr 1" sheetId="2" r:id="rId2"/>
    <sheet name="Arr 2" sheetId="3" r:id="rId3"/>
    <sheet name="Arr 3" sheetId="4" r:id="rId4"/>
    <sheet name="Arr 4" sheetId="5" r:id="rId5"/>
  </sheets>
  <definedNames>
    <definedName name="_xlnm.Print_Area" localSheetId="1">'Arr 1'!$A$58:$I$102</definedName>
    <definedName name="_xlnm.Print_Area" localSheetId="2">'Arr 2'!$A$1:$I$102</definedName>
    <definedName name="_xlnm.Print_Area" localSheetId="3">'Arr 3'!#REF!</definedName>
    <definedName name="_xlnm.Print_Area" localSheetId="4">'Arr 4'!#REF!</definedName>
    <definedName name="_xlnm.Print_Area" localSheetId="0">'Situation'!$A$1:$J$25</definedName>
    <definedName name="REPORT" localSheetId="1">'Arr 1'!$A$1:$K$96</definedName>
    <definedName name="REPORT" localSheetId="2">'Arr 2'!#REF!</definedName>
    <definedName name="REPORT" localSheetId="3">'Arr 3'!#REF!</definedName>
    <definedName name="REPORT" localSheetId="4">'Arr 4'!#REF!</definedName>
    <definedName name="REPORT">#REF!</definedName>
    <definedName name="SHARE" localSheetId="1">'Arr 1'!$A$1:$K$96</definedName>
    <definedName name="SHARE" localSheetId="2">'Arr 2'!#REF!</definedName>
    <definedName name="SHARE" localSheetId="3">'Arr 3'!#REF!</definedName>
    <definedName name="SHARE" localSheetId="4">'Arr 4'!#REF!</definedName>
    <definedName name="SHARE">#REF!</definedName>
  </definedNames>
  <calcPr fullCalcOnLoad="1"/>
</workbook>
</file>

<file path=xl/sharedStrings.xml><?xml version="1.0" encoding="utf-8"?>
<sst xmlns="http://schemas.openxmlformats.org/spreadsheetml/2006/main" count="507" uniqueCount="101">
  <si>
    <t>Data Entry</t>
  </si>
  <si>
    <t xml:space="preserve">Annual </t>
  </si>
  <si>
    <t>Fixed Costs</t>
  </si>
  <si>
    <t>Costs</t>
  </si>
  <si>
    <t>Share</t>
  </si>
  <si>
    <t xml:space="preserve">  Costs</t>
  </si>
  <si>
    <t>Land value per acre</t>
  </si>
  <si>
    <t>Owned Land</t>
  </si>
  <si>
    <t xml:space="preserve">   Return on investment</t>
  </si>
  <si>
    <t xml:space="preserve">   Real estate taxes</t>
  </si>
  <si>
    <t xml:space="preserve">   Maintenance</t>
  </si>
  <si>
    <t xml:space="preserve"> </t>
  </si>
  <si>
    <t xml:space="preserve">   Interest/return on investment</t>
  </si>
  <si>
    <t xml:space="preserve">   Depreciation</t>
  </si>
  <si>
    <t xml:space="preserve">   Taxes &amp; insurance</t>
  </si>
  <si>
    <t xml:space="preserve">   Death losses</t>
  </si>
  <si>
    <t>Average value of machinery &amp; equipment</t>
  </si>
  <si>
    <t>Equipment and machinery</t>
  </si>
  <si>
    <t>Proportion charged to this enterprise</t>
  </si>
  <si>
    <t xml:space="preserve">Interest or opportunity interest on machinery </t>
  </si>
  <si>
    <t>Average life of machinery complement</t>
  </si>
  <si>
    <t>Conservation measures</t>
  </si>
  <si>
    <t>Tax and Insurance rate on average value</t>
  </si>
  <si>
    <t>Management</t>
  </si>
  <si>
    <t>Labor</t>
  </si>
  <si>
    <t>Total Fixed Costs</t>
  </si>
  <si>
    <t>% of Total Fixed Costs</t>
  </si>
  <si>
    <t>Operating Expenses</t>
  </si>
  <si>
    <t>Feed and pasture</t>
  </si>
  <si>
    <t xml:space="preserve">   Salt and mineral</t>
  </si>
  <si>
    <t>Labor, hired</t>
  </si>
  <si>
    <t xml:space="preserve">   General</t>
  </si>
  <si>
    <t>Fencing</t>
  </si>
  <si>
    <t>Veterinary and supplies</t>
  </si>
  <si>
    <t>Insect control</t>
  </si>
  <si>
    <t>Marketing expense</t>
  </si>
  <si>
    <t>Hauling</t>
  </si>
  <si>
    <t>Mach., equip.: fuel,lube,repairs</t>
  </si>
  <si>
    <t>Water</t>
  </si>
  <si>
    <t>Operating interest</t>
  </si>
  <si>
    <t>Other</t>
  </si>
  <si>
    <t>Total Operating Expense</t>
  </si>
  <si>
    <t>Income Available to Cover Fixed Costs</t>
  </si>
  <si>
    <t>Net After All Costs</t>
  </si>
  <si>
    <t>Livestock:  steers</t>
  </si>
  <si>
    <t>Medicine</t>
  </si>
  <si>
    <t xml:space="preserve">   Equipment</t>
  </si>
  <si>
    <t>Death loss</t>
  </si>
  <si>
    <t>Acres in unit</t>
  </si>
  <si>
    <t>Estimated pounds of gain/day</t>
  </si>
  <si>
    <t>Approx. days feed</t>
  </si>
  <si>
    <t>Arrangement 1</t>
  </si>
  <si>
    <t>Arrangement 2</t>
  </si>
  <si>
    <t>Arrangement 3</t>
  </si>
  <si>
    <t>Arrangement 4</t>
  </si>
  <si>
    <t>Livestock Share Lease Worksheet (per stocker basis)</t>
  </si>
  <si>
    <t>Estimated total gain (lbs)</t>
  </si>
  <si>
    <t>Livestock Purchase Price</t>
  </si>
  <si>
    <t>Salvage value of machinery &amp; equipment</t>
  </si>
  <si>
    <t>Percent Share of Receipts</t>
  </si>
  <si>
    <t>Cost of Gain Per Pound</t>
  </si>
  <si>
    <t>Receipts per Head</t>
  </si>
  <si>
    <t>Rate of return expected on market value of land</t>
  </si>
  <si>
    <t xml:space="preserve">   Property taxes as a percent of land market value</t>
  </si>
  <si>
    <t xml:space="preserve">   Percent of taxes and desired rate of return to come from stockers</t>
  </si>
  <si>
    <t>Description of Stockers and Other Necessary Information</t>
  </si>
  <si>
    <t>Percent of Operating Costs</t>
  </si>
  <si>
    <t>Total Operating Costs</t>
  </si>
  <si>
    <t>Total</t>
  </si>
  <si>
    <t>Gross Margin (Sale Price - Puchase Price)</t>
  </si>
  <si>
    <t>Percent Share of Gross Margin</t>
  </si>
  <si>
    <t>Gross Margin per Head</t>
  </si>
  <si>
    <t>Average stocker purchase price (cwt.)</t>
  </si>
  <si>
    <t>Average stocker purchase weight (lbs.)</t>
  </si>
  <si>
    <t>Interest or opportunity interest on stockers</t>
  </si>
  <si>
    <t>Average stocker selling price (cwt.)</t>
  </si>
  <si>
    <t>Average stocker selling weight (lbs.)</t>
  </si>
  <si>
    <t>Tax and insurance rate on average value of stocker</t>
  </si>
  <si>
    <t>Enterprise Summary</t>
  </si>
  <si>
    <t>Per Animal Summary</t>
  </si>
  <si>
    <t>Total Operating and Fixed Costs</t>
  </si>
  <si>
    <t>Percent of Operating and Fixed Costs</t>
  </si>
  <si>
    <t>Total Outlays</t>
  </si>
  <si>
    <t>Percent of Total Outlays</t>
  </si>
  <si>
    <t>Number of stockers</t>
  </si>
  <si>
    <t>Cost of Stockers</t>
  </si>
  <si>
    <t>Gross Receipts</t>
  </si>
  <si>
    <t>Share of Stocker Purchase Price</t>
  </si>
  <si>
    <t xml:space="preserve">   Pasture</t>
  </si>
  <si>
    <t xml:space="preserve">   Hay</t>
  </si>
  <si>
    <t>Calculated selling weight (lbs)</t>
  </si>
  <si>
    <t xml:space="preserve">   Other (e.g., fertilizer)</t>
  </si>
  <si>
    <t>Party A</t>
  </si>
  <si>
    <t>Party B</t>
  </si>
  <si>
    <t>Use this section when Party B pays Party A a rate per pound of gain</t>
  </si>
  <si>
    <t>Use this section when Party B and Party A share stocker ownership and Party A receives share of sales</t>
  </si>
  <si>
    <t>Use this section when Party A and Party B share Gross Margin</t>
  </si>
  <si>
    <t xml:space="preserve">   Party A ($ of labor per head)</t>
  </si>
  <si>
    <t xml:space="preserve">   Party B ($ of labor per head)</t>
  </si>
  <si>
    <t>pasture producer owns land and machinery</t>
  </si>
  <si>
    <t>compensation = $/lb gain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</si>
</sst>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0.000%"/>
    <numFmt numFmtId="167" formatCode="&quot;$&quot;#,##0.00"/>
    <numFmt numFmtId="168" formatCode="0.0"/>
    <numFmt numFmtId="169" formatCode="[$-409]dddd\,\ mmmm\ dd\,\ yyyy"/>
    <numFmt numFmtId="170" formatCode="[$-409]h:mm:ss\ AM/PM"/>
  </numFmts>
  <fonts count="41">
    <font>
      <sz val="12"/>
      <name val="Arial MT"/>
      <family val="0"/>
    </font>
    <font>
      <sz val="11"/>
      <color indexed="8"/>
      <name val="Calibri"/>
      <family val="2"/>
    </font>
    <font>
      <b/>
      <i/>
      <sz val="14"/>
      <name val="Arial MT"/>
      <family val="0"/>
    </font>
    <font>
      <b/>
      <sz val="12"/>
      <name val="Arial MT"/>
      <family val="0"/>
    </font>
    <font>
      <i/>
      <sz val="12"/>
      <name val="Arial MT"/>
      <family val="0"/>
    </font>
    <font>
      <sz val="12"/>
      <color indexed="39"/>
      <name val="Arial MT"/>
      <family val="0"/>
    </font>
    <font>
      <b/>
      <sz val="12"/>
      <color indexed="39"/>
      <name val="Arial MT"/>
      <family val="0"/>
    </font>
    <font>
      <sz val="12"/>
      <color indexed="8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 style="thick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Border="1" applyAlignment="1">
      <alignment/>
    </xf>
    <xf numFmtId="7" fontId="0" fillId="0" borderId="0" xfId="0" applyNumberFormat="1" applyAlignment="1">
      <alignment/>
    </xf>
    <xf numFmtId="7" fontId="0" fillId="0" borderId="0" xfId="0" applyNumberFormat="1" applyFont="1" applyAlignment="1" applyProtection="1">
      <alignment horizontal="center"/>
      <protection/>
    </xf>
    <xf numFmtId="7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Alignment="1" applyProtection="1">
      <alignment horizontal="center"/>
      <protection/>
    </xf>
    <xf numFmtId="7" fontId="0" fillId="0" borderId="0" xfId="0" applyNumberFormat="1" applyFont="1" applyAlignment="1" applyProtection="1">
      <alignment horizontal="center"/>
      <protection/>
    </xf>
    <xf numFmtId="167" fontId="0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5" fontId="5" fillId="0" borderId="10" xfId="0" applyNumberFormat="1" applyFont="1" applyBorder="1" applyAlignment="1" applyProtection="1">
      <alignment horizontal="center"/>
      <protection/>
    </xf>
    <xf numFmtId="165" fontId="5" fillId="0" borderId="10" xfId="0" applyNumberFormat="1" applyFont="1" applyBorder="1" applyAlignment="1" applyProtection="1">
      <alignment horizontal="center"/>
      <protection/>
    </xf>
    <xf numFmtId="7" fontId="5" fillId="0" borderId="11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7" fontId="5" fillId="0" borderId="12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165" fontId="5" fillId="0" borderId="11" xfId="0" applyNumberFormat="1" applyFont="1" applyBorder="1" applyAlignment="1" applyProtection="1">
      <alignment horizontal="center"/>
      <protection/>
    </xf>
    <xf numFmtId="10" fontId="5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left" indent="1"/>
      <protection/>
    </xf>
    <xf numFmtId="168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 indent="1"/>
      <protection/>
    </xf>
    <xf numFmtId="165" fontId="5" fillId="0" borderId="14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65" fontId="5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7" fontId="5" fillId="0" borderId="10" xfId="0" applyNumberFormat="1" applyFont="1" applyBorder="1" applyAlignment="1" applyProtection="1">
      <alignment horizontal="center"/>
      <protection/>
    </xf>
    <xf numFmtId="7" fontId="5" fillId="0" borderId="15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5" fontId="5" fillId="0" borderId="15" xfId="0" applyNumberFormat="1" applyFont="1" applyBorder="1" applyAlignment="1" applyProtection="1">
      <alignment horizontal="center"/>
      <protection/>
    </xf>
    <xf numFmtId="165" fontId="5" fillId="0" borderId="16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7" fontId="0" fillId="0" borderId="17" xfId="0" applyNumberFormat="1" applyFont="1" applyBorder="1" applyAlignment="1" applyProtection="1">
      <alignment horizontal="center"/>
      <protection/>
    </xf>
    <xf numFmtId="7" fontId="0" fillId="0" borderId="18" xfId="0" applyNumberFormat="1" applyFont="1" applyBorder="1" applyAlignment="1" applyProtection="1">
      <alignment horizontal="center"/>
      <protection/>
    </xf>
    <xf numFmtId="167" fontId="5" fillId="0" borderId="10" xfId="0" applyNumberFormat="1" applyFont="1" applyBorder="1" applyAlignment="1">
      <alignment horizontal="center"/>
    </xf>
    <xf numFmtId="7" fontId="5" fillId="0" borderId="14" xfId="0" applyNumberFormat="1" applyFont="1" applyBorder="1" applyAlignment="1" applyProtection="1">
      <alignment horizontal="center"/>
      <protection/>
    </xf>
    <xf numFmtId="7" fontId="7" fillId="0" borderId="16" xfId="0" applyNumberFormat="1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7" fontId="0" fillId="0" borderId="17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167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 applyProtection="1">
      <alignment horizontal="center"/>
      <protection/>
    </xf>
    <xf numFmtId="7" fontId="0" fillId="0" borderId="0" xfId="0" applyNumberFormat="1" applyBorder="1" applyAlignment="1" applyProtection="1" quotePrefix="1">
      <alignment horizontal="center"/>
      <protection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9" xfId="0" applyFont="1" applyBorder="1" applyAlignment="1" applyProtection="1">
      <alignment/>
      <protection/>
    </xf>
    <xf numFmtId="9" fontId="0" fillId="0" borderId="17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justify"/>
    </xf>
    <xf numFmtId="0" fontId="0" fillId="0" borderId="0" xfId="0" applyBorder="1" applyAlignment="1">
      <alignment horizontal="centerContinuous" vertical="justify"/>
    </xf>
    <xf numFmtId="0" fontId="0" fillId="0" borderId="0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2" xfId="0" applyBorder="1" applyAlignment="1">
      <alignment horizontal="center"/>
    </xf>
    <xf numFmtId="7" fontId="0" fillId="0" borderId="21" xfId="0" applyNumberFormat="1" applyBorder="1" applyAlignment="1" applyProtection="1">
      <alignment horizontal="left"/>
      <protection/>
    </xf>
    <xf numFmtId="7" fontId="0" fillId="0" borderId="22" xfId="0" applyNumberFormat="1" applyBorder="1" applyAlignment="1">
      <alignment horizontal="center"/>
    </xf>
    <xf numFmtId="7" fontId="0" fillId="0" borderId="21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/>
      <protection/>
    </xf>
    <xf numFmtId="7" fontId="0" fillId="0" borderId="22" xfId="0" applyNumberFormat="1" applyFont="1" applyBorder="1" applyAlignment="1" applyProtection="1">
      <alignment horizontal="center"/>
      <protection/>
    </xf>
    <xf numFmtId="7" fontId="0" fillId="0" borderId="20" xfId="0" applyNumberFormat="1" applyBorder="1" applyAlignment="1">
      <alignment horizontal="center"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7" fontId="0" fillId="0" borderId="25" xfId="0" applyNumberFormat="1" applyBorder="1" applyAlignment="1">
      <alignment horizontal="center"/>
    </xf>
    <xf numFmtId="7" fontId="0" fillId="0" borderId="24" xfId="0" applyNumberFormat="1" applyBorder="1" applyAlignment="1">
      <alignment/>
    </xf>
    <xf numFmtId="7" fontId="0" fillId="0" borderId="26" xfId="0" applyNumberForma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65" fontId="0" fillId="0" borderId="0" xfId="0" applyNumberFormat="1" applyBorder="1" applyAlignment="1" applyProtection="1">
      <alignment horizontal="center"/>
      <protection/>
    </xf>
    <xf numFmtId="165" fontId="0" fillId="0" borderId="22" xfId="0" applyNumberForma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7" fontId="0" fillId="0" borderId="25" xfId="0" applyNumberFormat="1" applyFont="1" applyBorder="1" applyAlignment="1" applyProtection="1">
      <alignment horizontal="center"/>
      <protection/>
    </xf>
    <xf numFmtId="165" fontId="5" fillId="0" borderId="10" xfId="0" applyNumberFormat="1" applyFont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/>
    </xf>
    <xf numFmtId="0" fontId="0" fillId="0" borderId="21" xfId="0" applyBorder="1" applyAlignment="1" applyProtection="1">
      <alignment/>
      <protection/>
    </xf>
    <xf numFmtId="165" fontId="0" fillId="0" borderId="22" xfId="0" applyNumberFormat="1" applyFont="1" applyBorder="1" applyAlignment="1" applyProtection="1">
      <alignment horizontal="center"/>
      <protection/>
    </xf>
    <xf numFmtId="167" fontId="0" fillId="0" borderId="0" xfId="0" applyNumberFormat="1" applyBorder="1" applyAlignment="1">
      <alignment horizontal="center"/>
    </xf>
    <xf numFmtId="10" fontId="0" fillId="0" borderId="0" xfId="0" applyNumberFormat="1" applyFont="1" applyBorder="1" applyAlignment="1" applyProtection="1">
      <alignment horizontal="center"/>
      <protection/>
    </xf>
    <xf numFmtId="167" fontId="0" fillId="0" borderId="2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 applyProtection="1">
      <alignment horizontal="center"/>
      <protection/>
    </xf>
    <xf numFmtId="9" fontId="0" fillId="0" borderId="0" xfId="0" applyNumberFormat="1" applyFont="1" applyBorder="1" applyAlignment="1" applyProtection="1">
      <alignment horizontal="center"/>
      <protection/>
    </xf>
    <xf numFmtId="7" fontId="5" fillId="0" borderId="27" xfId="0" applyNumberFormat="1" applyFont="1" applyBorder="1" applyAlignment="1" applyProtection="1">
      <alignment horizontal="center"/>
      <protection/>
    </xf>
    <xf numFmtId="7" fontId="0" fillId="0" borderId="0" xfId="0" applyNumberFormat="1" applyFont="1" applyFill="1" applyAlignment="1" applyProtection="1">
      <alignment horizontal="center"/>
      <protection/>
    </xf>
    <xf numFmtId="165" fontId="5" fillId="0" borderId="1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7" fontId="5" fillId="0" borderId="15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Fill="1" applyAlignment="1" applyProtection="1">
      <alignment horizontal="center"/>
      <protection/>
    </xf>
    <xf numFmtId="7" fontId="5" fillId="0" borderId="14" xfId="0" applyNumberFormat="1" applyFont="1" applyFill="1" applyBorder="1" applyAlignment="1" applyProtection="1">
      <alignment horizontal="center"/>
      <protection/>
    </xf>
    <xf numFmtId="7" fontId="5" fillId="0" borderId="27" xfId="0" applyNumberFormat="1" applyFont="1" applyFill="1" applyBorder="1" applyAlignment="1" applyProtection="1">
      <alignment horizontal="center"/>
      <protection/>
    </xf>
    <xf numFmtId="7" fontId="5" fillId="0" borderId="12" xfId="0" applyNumberFormat="1" applyFont="1" applyFill="1" applyBorder="1" applyAlignment="1" applyProtection="1">
      <alignment horizontal="center"/>
      <protection/>
    </xf>
    <xf numFmtId="7" fontId="0" fillId="0" borderId="18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5" fontId="5" fillId="0" borderId="15" xfId="0" applyNumberFormat="1" applyFont="1" applyFill="1" applyBorder="1" applyAlignment="1" applyProtection="1">
      <alignment horizontal="center"/>
      <protection/>
    </xf>
    <xf numFmtId="165" fontId="5" fillId="0" borderId="16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7" fontId="0" fillId="0" borderId="0" xfId="0" applyNumberFormat="1" applyFont="1" applyFill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Alignment="1" applyProtection="1">
      <alignment horizontal="center"/>
      <protection/>
    </xf>
    <xf numFmtId="167" fontId="0" fillId="0" borderId="0" xfId="0" applyNumberFormat="1" applyFill="1" applyAlignment="1">
      <alignment horizontal="center"/>
    </xf>
    <xf numFmtId="7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2" max="2" width="8.77734375" style="21" customWidth="1"/>
    <col min="5" max="5" width="15.4453125" style="0" customWidth="1"/>
  </cols>
  <sheetData>
    <row r="1" ht="15.75">
      <c r="A1" s="56" t="s">
        <v>65</v>
      </c>
    </row>
    <row r="3" spans="3:9" ht="15.75">
      <c r="C3" s="36" t="s">
        <v>0</v>
      </c>
      <c r="D3" s="36"/>
      <c r="E3" s="8"/>
      <c r="F3" s="8"/>
      <c r="G3" s="8"/>
      <c r="H3" s="2"/>
      <c r="I3" s="2"/>
    </row>
    <row r="4" spans="2:9" ht="15">
      <c r="B4" s="23">
        <v>100</v>
      </c>
      <c r="C4" s="37" t="s">
        <v>48</v>
      </c>
      <c r="D4" s="8"/>
      <c r="E4" s="8"/>
      <c r="F4" s="8"/>
      <c r="G4" s="8"/>
      <c r="H4" s="8"/>
      <c r="I4" s="2"/>
    </row>
    <row r="5" spans="2:9" ht="15">
      <c r="B5" s="24">
        <v>1875</v>
      </c>
      <c r="C5" s="10" t="s">
        <v>6</v>
      </c>
      <c r="D5" s="2"/>
      <c r="E5" s="2"/>
      <c r="F5" s="2"/>
      <c r="G5" s="8"/>
      <c r="H5" s="2"/>
      <c r="I5" s="2"/>
    </row>
    <row r="6" spans="2:9" ht="15">
      <c r="B6" s="22">
        <v>0.004</v>
      </c>
      <c r="C6" s="54" t="s">
        <v>63</v>
      </c>
      <c r="D6" s="2"/>
      <c r="E6" s="2"/>
      <c r="F6" s="2"/>
      <c r="G6" s="8"/>
      <c r="H6" s="2"/>
      <c r="I6" s="2"/>
    </row>
    <row r="7" spans="2:9" ht="15">
      <c r="B7" s="25">
        <v>0.02</v>
      </c>
      <c r="C7" s="33" t="s">
        <v>62</v>
      </c>
      <c r="D7" s="8"/>
      <c r="E7" s="8"/>
      <c r="F7" s="8"/>
      <c r="G7" s="8"/>
      <c r="H7" s="2"/>
      <c r="I7" s="2"/>
    </row>
    <row r="8" spans="2:9" ht="15">
      <c r="B8" s="25">
        <v>0.5</v>
      </c>
      <c r="C8" s="54" t="s">
        <v>64</v>
      </c>
      <c r="D8" s="2"/>
      <c r="E8" s="2"/>
      <c r="F8" s="2"/>
      <c r="G8" s="8"/>
      <c r="H8" s="2"/>
      <c r="I8" s="2"/>
    </row>
    <row r="9" spans="2:9" ht="15">
      <c r="B9" s="23">
        <v>50</v>
      </c>
      <c r="C9" s="9" t="s">
        <v>84</v>
      </c>
      <c r="D9" s="2"/>
      <c r="E9" s="2"/>
      <c r="F9" s="2"/>
      <c r="G9" s="8"/>
      <c r="H9" s="2"/>
      <c r="I9" s="2"/>
    </row>
    <row r="11" spans="2:9" ht="15">
      <c r="B11" s="38"/>
      <c r="C11" s="32"/>
      <c r="D11" s="8"/>
      <c r="E11" s="8"/>
      <c r="F11" s="8"/>
      <c r="G11" s="8"/>
      <c r="H11" s="8"/>
      <c r="I11" s="2"/>
    </row>
    <row r="12" spans="2:9" ht="15">
      <c r="B12" s="26">
        <v>175</v>
      </c>
      <c r="C12" s="9" t="s">
        <v>72</v>
      </c>
      <c r="D12" s="2"/>
      <c r="E12" s="2"/>
      <c r="G12" s="34">
        <v>2</v>
      </c>
      <c r="H12" s="39" t="s">
        <v>49</v>
      </c>
      <c r="I12" s="2"/>
    </row>
    <row r="13" spans="2:9" ht="15">
      <c r="B13" s="27">
        <v>450</v>
      </c>
      <c r="C13" s="9" t="s">
        <v>73</v>
      </c>
      <c r="D13" s="2"/>
      <c r="E13" s="2"/>
      <c r="G13" s="35">
        <v>110</v>
      </c>
      <c r="H13" t="s">
        <v>50</v>
      </c>
      <c r="I13" s="2"/>
    </row>
    <row r="14" spans="2:9" ht="15">
      <c r="B14" s="31">
        <v>0.02</v>
      </c>
      <c r="C14" s="9" t="s">
        <v>74</v>
      </c>
      <c r="D14" s="2"/>
      <c r="E14" s="2"/>
      <c r="G14" s="112">
        <f>G13*G12</f>
        <v>220</v>
      </c>
      <c r="H14" t="s">
        <v>56</v>
      </c>
      <c r="I14" s="2"/>
    </row>
    <row r="15" spans="2:9" ht="15">
      <c r="B15" s="28">
        <v>164</v>
      </c>
      <c r="C15" s="9" t="s">
        <v>75</v>
      </c>
      <c r="D15" s="2"/>
      <c r="E15" s="2"/>
      <c r="F15" s="8"/>
      <c r="G15" s="113">
        <f>B13+G14</f>
        <v>670</v>
      </c>
      <c r="H15" s="7" t="s">
        <v>90</v>
      </c>
      <c r="I15" s="2"/>
    </row>
    <row r="16" spans="2:9" ht="15">
      <c r="B16" s="29">
        <v>670</v>
      </c>
      <c r="C16" s="9" t="s">
        <v>76</v>
      </c>
      <c r="D16" s="2"/>
      <c r="E16" s="2"/>
      <c r="F16" s="2"/>
      <c r="G16" s="8"/>
      <c r="H16" s="2"/>
      <c r="I16" s="2"/>
    </row>
    <row r="17" spans="2:9" ht="15">
      <c r="B17" s="30">
        <v>0.016</v>
      </c>
      <c r="C17" s="9" t="s">
        <v>77</v>
      </c>
      <c r="D17" s="2"/>
      <c r="E17" s="2"/>
      <c r="F17" s="2"/>
      <c r="G17" s="11"/>
      <c r="H17" s="2"/>
      <c r="I17" s="2"/>
    </row>
    <row r="18" spans="2:9" ht="15">
      <c r="B18" s="25">
        <v>0.02</v>
      </c>
      <c r="C18" s="33" t="s">
        <v>47</v>
      </c>
      <c r="D18" s="8"/>
      <c r="E18" s="8"/>
      <c r="F18" s="8"/>
      <c r="G18" s="8"/>
      <c r="H18" s="2"/>
      <c r="I18" s="2"/>
    </row>
    <row r="19" spans="2:9" ht="15">
      <c r="B19" s="25"/>
      <c r="C19" s="37"/>
      <c r="D19" s="8"/>
      <c r="E19" s="8"/>
      <c r="F19" s="8"/>
      <c r="G19" s="8"/>
      <c r="H19" s="8"/>
      <c r="I19" s="2"/>
    </row>
    <row r="20" spans="2:9" ht="15">
      <c r="B20" s="24">
        <v>49000</v>
      </c>
      <c r="C20" s="9" t="s">
        <v>16</v>
      </c>
      <c r="D20" s="2"/>
      <c r="E20" s="2"/>
      <c r="F20" s="2"/>
      <c r="G20" s="8"/>
      <c r="H20" s="8"/>
      <c r="I20" s="2"/>
    </row>
    <row r="21" spans="2:9" ht="15">
      <c r="B21" s="24">
        <v>13000</v>
      </c>
      <c r="C21" s="9" t="s">
        <v>58</v>
      </c>
      <c r="D21" s="2"/>
      <c r="E21" s="2"/>
      <c r="F21" s="2"/>
      <c r="G21" s="8"/>
      <c r="H21" s="2"/>
      <c r="I21" s="2"/>
    </row>
    <row r="22" spans="2:9" ht="15">
      <c r="B22" s="25">
        <v>0.25</v>
      </c>
      <c r="C22" s="10" t="s">
        <v>18</v>
      </c>
      <c r="D22" s="2"/>
      <c r="E22" s="2"/>
      <c r="F22" s="2"/>
      <c r="G22" s="8"/>
      <c r="H22" s="2"/>
      <c r="I22" s="2"/>
    </row>
    <row r="23" spans="2:9" ht="15">
      <c r="B23" s="31">
        <v>0.02</v>
      </c>
      <c r="C23" s="10" t="s">
        <v>19</v>
      </c>
      <c r="D23" s="2"/>
      <c r="E23" s="2"/>
      <c r="F23" s="2"/>
      <c r="G23" s="8"/>
      <c r="H23" s="2"/>
      <c r="I23" s="2"/>
    </row>
    <row r="24" spans="2:9" ht="15">
      <c r="B24" s="23">
        <v>10</v>
      </c>
      <c r="C24" s="10" t="s">
        <v>20</v>
      </c>
      <c r="D24" s="2"/>
      <c r="E24" s="2"/>
      <c r="F24" s="2"/>
      <c r="G24" s="8"/>
      <c r="H24" s="2"/>
      <c r="I24" s="2"/>
    </row>
    <row r="25" spans="2:9" ht="15">
      <c r="B25" s="25">
        <v>0.016</v>
      </c>
      <c r="C25" s="10" t="s">
        <v>22</v>
      </c>
      <c r="D25" s="2"/>
      <c r="E25" s="2"/>
      <c r="F25" s="2"/>
      <c r="G25" s="8"/>
      <c r="H25" s="2"/>
      <c r="I25" s="2"/>
    </row>
    <row r="26" spans="2:9" ht="15">
      <c r="B26" s="3"/>
      <c r="C26" s="2"/>
      <c r="D26" s="2"/>
      <c r="E26" s="2"/>
      <c r="F26" s="2"/>
      <c r="G26" s="8"/>
      <c r="H26" s="2"/>
      <c r="I26" s="2"/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03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2.6640625" defaultRowHeight="15"/>
  <cols>
    <col min="1" max="1" width="33.77734375" style="0" customWidth="1"/>
    <col min="2" max="2" width="9.6640625" style="21" bestFit="1" customWidth="1"/>
    <col min="3" max="3" width="10.21484375" style="21" customWidth="1"/>
    <col min="4" max="4" width="11.77734375" style="21" customWidth="1"/>
    <col min="5" max="5" width="10.21484375" style="21" customWidth="1"/>
    <col min="6" max="6" width="5.77734375" style="0" customWidth="1"/>
    <col min="7" max="7" width="11.6640625" style="0" customWidth="1"/>
    <col min="8" max="8" width="13.5546875" style="0" customWidth="1"/>
    <col min="9" max="10" width="10.77734375" style="0" customWidth="1"/>
    <col min="11" max="11" width="12.6640625" style="11" customWidth="1"/>
  </cols>
  <sheetData>
    <row r="1" spans="1:13" ht="18.75">
      <c r="A1" s="1" t="s">
        <v>55</v>
      </c>
      <c r="B1" s="3"/>
      <c r="C1" s="3"/>
      <c r="D1" s="3"/>
      <c r="E1" s="3"/>
      <c r="F1" s="2"/>
      <c r="G1" s="2"/>
      <c r="H1" s="2"/>
      <c r="I1" s="2"/>
      <c r="J1" s="2"/>
      <c r="K1" s="8"/>
      <c r="L1" s="2"/>
      <c r="M1" s="2"/>
    </row>
    <row r="2" spans="1:13" ht="15.75">
      <c r="A2" s="4" t="s">
        <v>51</v>
      </c>
      <c r="B2" s="3"/>
      <c r="C2" s="3"/>
      <c r="D2" s="3"/>
      <c r="E2" s="3"/>
      <c r="F2" s="2"/>
      <c r="L2" s="2"/>
      <c r="M2" s="2"/>
    </row>
    <row r="3" spans="1:13" ht="15.75">
      <c r="A3" s="2"/>
      <c r="B3" s="4" t="s">
        <v>1</v>
      </c>
      <c r="C3" s="4" t="s">
        <v>92</v>
      </c>
      <c r="D3" s="4" t="s">
        <v>92</v>
      </c>
      <c r="E3" s="4" t="s">
        <v>93</v>
      </c>
      <c r="H3" s="2"/>
      <c r="I3" s="2"/>
      <c r="J3" s="2"/>
      <c r="K3" s="8"/>
      <c r="L3" s="2"/>
      <c r="M3" s="2"/>
    </row>
    <row r="4" spans="1:5" ht="15.75">
      <c r="A4" s="5" t="s">
        <v>2</v>
      </c>
      <c r="B4" s="4" t="s">
        <v>3</v>
      </c>
      <c r="C4" s="4" t="s">
        <v>4</v>
      </c>
      <c r="D4" s="4" t="s">
        <v>5</v>
      </c>
      <c r="E4" s="4" t="s">
        <v>3</v>
      </c>
    </row>
    <row r="5" spans="1:5" ht="15">
      <c r="A5" s="6" t="s">
        <v>7</v>
      </c>
      <c r="B5" s="3"/>
      <c r="C5" s="3"/>
      <c r="D5" s="3"/>
      <c r="E5" s="3"/>
    </row>
    <row r="6" spans="1:7" ht="15">
      <c r="A6" s="2" t="s">
        <v>8</v>
      </c>
      <c r="B6" s="13">
        <f>((Situation!B4*Situation!B5)/Situation!B9)*Situation!B7*Situation!B8</f>
        <v>37.5</v>
      </c>
      <c r="C6" s="25">
        <v>1</v>
      </c>
      <c r="D6" s="13">
        <f>B6*C6</f>
        <v>37.5</v>
      </c>
      <c r="E6" s="13">
        <f>B6-D6</f>
        <v>0</v>
      </c>
      <c r="G6" t="s">
        <v>99</v>
      </c>
    </row>
    <row r="7" spans="1:7" ht="15">
      <c r="A7" s="2" t="s">
        <v>9</v>
      </c>
      <c r="B7" s="53">
        <f>Situation!B4*Situation!B5*Situation!B6/Situation!B9*Situation!B8</f>
        <v>7.5</v>
      </c>
      <c r="C7" s="46">
        <v>1</v>
      </c>
      <c r="D7" s="13">
        <f>B7*C7</f>
        <v>7.5</v>
      </c>
      <c r="E7" s="13">
        <f>B7-D7</f>
        <v>0</v>
      </c>
      <c r="G7" t="s">
        <v>100</v>
      </c>
    </row>
    <row r="8" spans="1:5" ht="15">
      <c r="A8" s="2" t="s">
        <v>10</v>
      </c>
      <c r="B8" s="52">
        <v>0</v>
      </c>
      <c r="C8" s="25">
        <v>0</v>
      </c>
      <c r="D8" s="13">
        <f>B8*C8</f>
        <v>0</v>
      </c>
      <c r="E8" s="13">
        <f>B8-D8</f>
        <v>0</v>
      </c>
    </row>
    <row r="9" spans="1:5" ht="15">
      <c r="A9" s="2"/>
      <c r="B9" s="14"/>
      <c r="C9" s="40"/>
      <c r="D9" s="13"/>
      <c r="E9" s="13"/>
    </row>
    <row r="10" spans="1:5" ht="15">
      <c r="A10" s="6" t="s">
        <v>44</v>
      </c>
      <c r="B10" s="13" t="s">
        <v>11</v>
      </c>
      <c r="C10" s="41"/>
      <c r="D10" s="13"/>
      <c r="E10" s="3"/>
    </row>
    <row r="11" spans="1:5" ht="15">
      <c r="A11" s="2" t="s">
        <v>12</v>
      </c>
      <c r="B11" s="13">
        <f>((Situation!$B$12*Situation!$B$13/100)*(Situation!G13/30))*Situation!$B$14/12</f>
        <v>4.8125</v>
      </c>
      <c r="C11" s="25">
        <v>0</v>
      </c>
      <c r="D11" s="13">
        <f>B11*C11</f>
        <v>0</v>
      </c>
      <c r="E11" s="13">
        <f>B11-D11</f>
        <v>4.8125</v>
      </c>
    </row>
    <row r="12" spans="1:5" ht="15">
      <c r="A12" s="2" t="s">
        <v>14</v>
      </c>
      <c r="B12" s="13">
        <f>((Situation!$B$12*Situation!$B$13/100)/2)*Situation!$B$17</f>
        <v>6.3</v>
      </c>
      <c r="C12" s="25">
        <v>0</v>
      </c>
      <c r="D12" s="13">
        <f>B12*C12</f>
        <v>0</v>
      </c>
      <c r="E12" s="13">
        <f>B12-D12</f>
        <v>6.3</v>
      </c>
    </row>
    <row r="13" spans="1:5" ht="15">
      <c r="A13" s="2" t="s">
        <v>15</v>
      </c>
      <c r="B13" s="13">
        <f>Situation!$B$18*(Situation!$B$12*Situation!$B$13/100)/2</f>
        <v>7.875</v>
      </c>
      <c r="C13" s="25">
        <v>0</v>
      </c>
      <c r="D13" s="13">
        <f>B13*C13</f>
        <v>0</v>
      </c>
      <c r="E13" s="13">
        <f>B13-D13</f>
        <v>7.875</v>
      </c>
    </row>
    <row r="14" spans="1:5" ht="15">
      <c r="A14" s="2"/>
      <c r="B14" s="13"/>
      <c r="C14" s="41"/>
      <c r="D14" s="13"/>
      <c r="E14" s="13"/>
    </row>
    <row r="15" spans="1:5" ht="15">
      <c r="A15" s="6" t="s">
        <v>17</v>
      </c>
      <c r="B15" s="13" t="s">
        <v>11</v>
      </c>
      <c r="C15" s="41"/>
      <c r="D15" s="13"/>
      <c r="E15" s="13"/>
    </row>
    <row r="16" spans="1:5" ht="15">
      <c r="A16" s="2" t="s">
        <v>12</v>
      </c>
      <c r="B16" s="13">
        <f>(((Situation!B20+Situation!B21)/2)*Situation!B22*Situation!B23)/Situation!B9</f>
        <v>3.1</v>
      </c>
      <c r="C16" s="25">
        <v>1</v>
      </c>
      <c r="D16" s="13">
        <f>B16*C16</f>
        <v>3.1</v>
      </c>
      <c r="E16" s="13">
        <f>B16-D16</f>
        <v>0</v>
      </c>
    </row>
    <row r="17" spans="1:5" ht="15">
      <c r="A17" s="2" t="s">
        <v>13</v>
      </c>
      <c r="B17" s="13">
        <f>(((Situation!B20-Situation!B21)/Situation!B24)/Situation!B9)*Situation!B22</f>
        <v>18</v>
      </c>
      <c r="C17" s="25">
        <v>1</v>
      </c>
      <c r="D17" s="13">
        <f>B17*C17</f>
        <v>18</v>
      </c>
      <c r="E17" s="13">
        <f>B17-D17</f>
        <v>0</v>
      </c>
    </row>
    <row r="18" spans="1:5" ht="15">
      <c r="A18" s="2" t="s">
        <v>14</v>
      </c>
      <c r="B18" s="13">
        <f>(((Situation!B20+Situation!B21)/2)*Situation!B22*Situation!B25)/Situation!B9</f>
        <v>2.48</v>
      </c>
      <c r="C18" s="25">
        <v>1</v>
      </c>
      <c r="D18" s="13">
        <f>B18*C18</f>
        <v>2.48</v>
      </c>
      <c r="E18" s="13">
        <f>B18-D18</f>
        <v>0</v>
      </c>
    </row>
    <row r="19" spans="1:5" ht="15">
      <c r="A19" s="6" t="s">
        <v>21</v>
      </c>
      <c r="B19" s="13">
        <f>D19+E19</f>
        <v>0</v>
      </c>
      <c r="C19" s="15">
        <f>IF(B19=0,"",D19/B19)</f>
      </c>
      <c r="D19" s="42"/>
      <c r="E19" s="43"/>
    </row>
    <row r="20" spans="1:5" ht="15">
      <c r="A20" s="6" t="s">
        <v>23</v>
      </c>
      <c r="B20" s="13">
        <f>D20+E20</f>
        <v>2</v>
      </c>
      <c r="C20" s="15">
        <f>IF(B20=0,"",D20/B20)</f>
        <v>1</v>
      </c>
      <c r="D20" s="42">
        <v>2</v>
      </c>
      <c r="E20" s="43">
        <v>0</v>
      </c>
    </row>
    <row r="21" spans="1:5" ht="15">
      <c r="A21" s="6" t="s">
        <v>24</v>
      </c>
      <c r="B21" s="13"/>
      <c r="C21" s="15"/>
      <c r="D21" s="44"/>
      <c r="E21" s="44"/>
    </row>
    <row r="22" spans="1:5" ht="15">
      <c r="A22" s="7" t="s">
        <v>97</v>
      </c>
      <c r="B22" s="13">
        <f>D22+E22</f>
        <v>0</v>
      </c>
      <c r="C22" s="15"/>
      <c r="D22" s="42"/>
      <c r="E22" s="52"/>
    </row>
    <row r="23" spans="1:13" ht="15.75" thickBot="1">
      <c r="A23" s="7" t="s">
        <v>98</v>
      </c>
      <c r="B23" s="13">
        <f>D23+E23</f>
        <v>5</v>
      </c>
      <c r="C23" s="15"/>
      <c r="D23" s="115">
        <v>5</v>
      </c>
      <c r="E23" s="28">
        <v>0</v>
      </c>
      <c r="F23" s="2"/>
      <c r="G23" s="2"/>
      <c r="H23" s="2"/>
      <c r="I23" s="2"/>
      <c r="J23" s="2"/>
      <c r="K23" s="8"/>
      <c r="L23" s="2"/>
      <c r="M23" s="2"/>
    </row>
    <row r="24" spans="1:13" ht="16.5" thickTop="1">
      <c r="A24" s="5" t="s">
        <v>25</v>
      </c>
      <c r="B24" s="50">
        <f>$D24+$E24</f>
        <v>94.5675</v>
      </c>
      <c r="C24" s="15"/>
      <c r="D24" s="50">
        <f>SUM(D6:D23)</f>
        <v>75.58</v>
      </c>
      <c r="E24" s="50">
        <f>SUM(E6:E23)</f>
        <v>18.9875</v>
      </c>
      <c r="F24" s="2"/>
      <c r="G24" s="2"/>
      <c r="H24" s="2"/>
      <c r="I24" s="2"/>
      <c r="J24" s="2"/>
      <c r="K24" s="8"/>
      <c r="L24" s="2"/>
      <c r="M24" s="2"/>
    </row>
    <row r="25" spans="1:13" ht="15.75">
      <c r="A25" s="5" t="s">
        <v>26</v>
      </c>
      <c r="B25" s="17">
        <f>B24/$B$24</f>
        <v>1</v>
      </c>
      <c r="C25" s="3"/>
      <c r="D25" s="17">
        <f>D24/$B$24</f>
        <v>0.7992174901525365</v>
      </c>
      <c r="E25" s="17">
        <f>E24/$B$24</f>
        <v>0.20078250984746346</v>
      </c>
      <c r="F25" s="2"/>
      <c r="G25" s="2"/>
      <c r="H25" s="2"/>
      <c r="I25" s="2"/>
      <c r="J25" s="2"/>
      <c r="K25" s="8"/>
      <c r="L25" s="2"/>
      <c r="M25" s="2"/>
    </row>
    <row r="26" spans="1:13" ht="15">
      <c r="A26" s="2"/>
      <c r="B26" s="16" t="s">
        <v>11</v>
      </c>
      <c r="C26" s="3"/>
      <c r="D26" s="16"/>
      <c r="E26" s="3"/>
      <c r="F26" s="2"/>
      <c r="G26" s="2"/>
      <c r="H26" s="2"/>
      <c r="I26" s="2"/>
      <c r="J26" s="2"/>
      <c r="K26" s="8"/>
      <c r="L26" s="2"/>
      <c r="M26" s="2"/>
    </row>
    <row r="27" spans="1:13" ht="15.75">
      <c r="A27" s="5" t="s">
        <v>27</v>
      </c>
      <c r="B27" s="4" t="s">
        <v>1</v>
      </c>
      <c r="C27" s="4" t="s">
        <v>92</v>
      </c>
      <c r="D27" s="4" t="s">
        <v>92</v>
      </c>
      <c r="E27" s="4" t="s">
        <v>93</v>
      </c>
      <c r="F27" s="2"/>
      <c r="G27" s="2"/>
      <c r="H27" s="2"/>
      <c r="I27" s="2"/>
      <c r="J27" s="2"/>
      <c r="K27" s="8"/>
      <c r="L27" s="2"/>
      <c r="M27" s="2"/>
    </row>
    <row r="28" spans="2:13" ht="15.75">
      <c r="B28" s="4" t="s">
        <v>3</v>
      </c>
      <c r="C28" s="4" t="s">
        <v>4</v>
      </c>
      <c r="D28" s="4" t="s">
        <v>5</v>
      </c>
      <c r="E28" s="4" t="s">
        <v>3</v>
      </c>
      <c r="F28" s="2"/>
      <c r="G28" s="2"/>
      <c r="H28" s="2"/>
      <c r="I28" s="2"/>
      <c r="J28" s="2"/>
      <c r="K28" s="8"/>
      <c r="L28" s="2"/>
      <c r="M28" s="2"/>
    </row>
    <row r="29" spans="1:13" ht="15.75">
      <c r="A29" s="2" t="s">
        <v>28</v>
      </c>
      <c r="B29" s="13"/>
      <c r="C29" s="45"/>
      <c r="D29" s="4"/>
      <c r="E29" s="4"/>
      <c r="F29" s="2"/>
      <c r="G29" s="2"/>
      <c r="H29" s="2"/>
      <c r="I29" s="2"/>
      <c r="J29" s="2"/>
      <c r="K29" s="8"/>
      <c r="L29" s="2"/>
      <c r="M29" s="2"/>
    </row>
    <row r="30" spans="1:13" ht="15">
      <c r="A30" s="7" t="s">
        <v>88</v>
      </c>
      <c r="B30" s="42">
        <v>36</v>
      </c>
      <c r="C30" s="46">
        <v>1</v>
      </c>
      <c r="D30" s="13">
        <f>$B30*$C30</f>
        <v>36</v>
      </c>
      <c r="E30" s="13">
        <f>$B30*(1-C30)</f>
        <v>0</v>
      </c>
      <c r="F30" s="2"/>
      <c r="G30" s="2"/>
      <c r="H30" s="2"/>
      <c r="I30" s="2"/>
      <c r="J30" s="2"/>
      <c r="K30" s="8"/>
      <c r="L30" s="2"/>
      <c r="M30" s="2"/>
    </row>
    <row r="31" spans="1:13" ht="15">
      <c r="A31" s="7" t="s">
        <v>89</v>
      </c>
      <c r="B31" s="42">
        <v>8</v>
      </c>
      <c r="C31" s="47">
        <v>0.5</v>
      </c>
      <c r="D31" s="13">
        <f>$B31*$C31</f>
        <v>4</v>
      </c>
      <c r="E31" s="13">
        <f>$B31*(1-C31)</f>
        <v>4</v>
      </c>
      <c r="F31" s="2"/>
      <c r="G31" s="2"/>
      <c r="H31" s="2"/>
      <c r="I31" s="2"/>
      <c r="J31" s="2"/>
      <c r="K31" s="8"/>
      <c r="L31" s="2"/>
      <c r="M31" s="2"/>
    </row>
    <row r="32" spans="1:13" ht="15">
      <c r="A32" s="2" t="s">
        <v>29</v>
      </c>
      <c r="B32" s="42">
        <v>0.3</v>
      </c>
      <c r="C32" s="47">
        <v>0.5</v>
      </c>
      <c r="D32" s="13">
        <f>$B32*$C32</f>
        <v>0.15</v>
      </c>
      <c r="E32" s="13">
        <f>$B32*(1-C32)</f>
        <v>0.15</v>
      </c>
      <c r="F32" s="2"/>
      <c r="G32" s="2"/>
      <c r="H32" s="2"/>
      <c r="I32" s="2"/>
      <c r="J32" s="2"/>
      <c r="K32" s="8"/>
      <c r="L32" s="2"/>
      <c r="M32" s="2"/>
    </row>
    <row r="33" spans="1:13" ht="15">
      <c r="A33" s="7" t="s">
        <v>91</v>
      </c>
      <c r="B33" s="42">
        <v>0</v>
      </c>
      <c r="C33" s="47">
        <v>0</v>
      </c>
      <c r="D33" s="13">
        <f>$B33*$C33</f>
        <v>0</v>
      </c>
      <c r="E33" s="13">
        <f>$B33*(1-C33)</f>
        <v>0</v>
      </c>
      <c r="F33" s="2"/>
      <c r="G33" s="2"/>
      <c r="H33" s="2"/>
      <c r="I33" s="2"/>
      <c r="J33" s="2"/>
      <c r="K33" s="8"/>
      <c r="L33" s="2"/>
      <c r="M33" s="2"/>
    </row>
    <row r="34" spans="1:13" ht="15">
      <c r="A34" s="2" t="s">
        <v>30</v>
      </c>
      <c r="B34" s="48"/>
      <c r="C34" s="48"/>
      <c r="D34" s="3"/>
      <c r="E34" s="3"/>
      <c r="F34" s="2"/>
      <c r="G34" s="2"/>
      <c r="H34" s="2"/>
      <c r="I34" s="2"/>
      <c r="J34" s="2"/>
      <c r="K34" s="8"/>
      <c r="L34" s="2"/>
      <c r="M34" s="2"/>
    </row>
    <row r="35" spans="1:13" ht="15">
      <c r="A35" s="2" t="s">
        <v>31</v>
      </c>
      <c r="B35" s="42">
        <v>18</v>
      </c>
      <c r="C35" s="46">
        <v>1</v>
      </c>
      <c r="D35" s="13">
        <f aca="true" t="shared" si="0" ref="D35:D46">$B35*$C35</f>
        <v>18</v>
      </c>
      <c r="E35" s="13">
        <f aca="true" t="shared" si="1" ref="E35:E46">$B35*(1-C35)</f>
        <v>0</v>
      </c>
      <c r="F35" s="2"/>
      <c r="G35" s="2"/>
      <c r="H35" s="2"/>
      <c r="I35" s="2"/>
      <c r="J35" s="2"/>
      <c r="K35" s="8"/>
      <c r="L35" s="2"/>
      <c r="M35" s="2"/>
    </row>
    <row r="36" spans="1:13" ht="15">
      <c r="A36" s="7" t="s">
        <v>46</v>
      </c>
      <c r="B36" s="42">
        <v>6</v>
      </c>
      <c r="C36" s="46">
        <v>1</v>
      </c>
      <c r="D36" s="13">
        <f t="shared" si="0"/>
        <v>6</v>
      </c>
      <c r="E36" s="13">
        <f t="shared" si="1"/>
        <v>0</v>
      </c>
      <c r="F36" s="2"/>
      <c r="G36" s="2"/>
      <c r="H36" s="2"/>
      <c r="I36" s="2"/>
      <c r="J36" s="2"/>
      <c r="K36" s="8"/>
      <c r="L36" s="2"/>
      <c r="M36" s="2"/>
    </row>
    <row r="37" spans="1:13" ht="15">
      <c r="A37" s="2" t="s">
        <v>32</v>
      </c>
      <c r="B37" s="42">
        <v>2</v>
      </c>
      <c r="C37" s="47">
        <v>1</v>
      </c>
      <c r="D37" s="13">
        <f t="shared" si="0"/>
        <v>2</v>
      </c>
      <c r="E37" s="13">
        <f t="shared" si="1"/>
        <v>0</v>
      </c>
      <c r="F37" s="2"/>
      <c r="G37" s="2"/>
      <c r="H37" s="2"/>
      <c r="I37" s="2"/>
      <c r="J37" s="2"/>
      <c r="K37" s="8"/>
      <c r="L37" s="2"/>
      <c r="M37" s="2"/>
    </row>
    <row r="38" spans="1:13" ht="15">
      <c r="A38" s="2" t="s">
        <v>33</v>
      </c>
      <c r="B38" s="42">
        <v>3</v>
      </c>
      <c r="C38" s="47">
        <v>0.5</v>
      </c>
      <c r="D38" s="13">
        <f t="shared" si="0"/>
        <v>1.5</v>
      </c>
      <c r="E38" s="13">
        <f t="shared" si="1"/>
        <v>1.5</v>
      </c>
      <c r="F38" s="2"/>
      <c r="G38" s="2"/>
      <c r="H38" s="2"/>
      <c r="I38" s="2"/>
      <c r="J38" s="2"/>
      <c r="K38" s="8"/>
      <c r="L38" s="2"/>
      <c r="M38" s="2"/>
    </row>
    <row r="39" spans="1:13" ht="15">
      <c r="A39" s="7" t="s">
        <v>45</v>
      </c>
      <c r="B39" s="42">
        <v>5</v>
      </c>
      <c r="C39" s="47">
        <v>0.5</v>
      </c>
      <c r="D39" s="13">
        <f t="shared" si="0"/>
        <v>2.5</v>
      </c>
      <c r="E39" s="13">
        <f t="shared" si="1"/>
        <v>2.5</v>
      </c>
      <c r="F39" s="2"/>
      <c r="G39" s="2"/>
      <c r="H39" s="2"/>
      <c r="I39" s="2"/>
      <c r="J39" s="2"/>
      <c r="K39" s="8"/>
      <c r="L39" s="2"/>
      <c r="M39" s="2"/>
    </row>
    <row r="40" spans="1:13" ht="15">
      <c r="A40" s="2" t="s">
        <v>34</v>
      </c>
      <c r="B40" s="42">
        <v>0</v>
      </c>
      <c r="C40" s="47">
        <v>0</v>
      </c>
      <c r="D40" s="13">
        <f t="shared" si="0"/>
        <v>0</v>
      </c>
      <c r="E40" s="13">
        <f t="shared" si="1"/>
        <v>0</v>
      </c>
      <c r="F40" s="2"/>
      <c r="G40" s="2"/>
      <c r="H40" s="2"/>
      <c r="I40" s="2"/>
      <c r="J40" s="2"/>
      <c r="K40" s="8"/>
      <c r="L40" s="2"/>
      <c r="M40" s="2"/>
    </row>
    <row r="41" spans="1:13" ht="15">
      <c r="A41" s="2" t="s">
        <v>35</v>
      </c>
      <c r="B41" s="42">
        <v>8</v>
      </c>
      <c r="C41" s="47">
        <v>0</v>
      </c>
      <c r="D41" s="13">
        <f t="shared" si="0"/>
        <v>0</v>
      </c>
      <c r="E41" s="13">
        <f t="shared" si="1"/>
        <v>8</v>
      </c>
      <c r="F41" s="2"/>
      <c r="G41" s="3"/>
      <c r="H41" s="3"/>
      <c r="I41" s="2"/>
      <c r="J41" s="2"/>
      <c r="K41" s="8"/>
      <c r="L41" s="2"/>
      <c r="M41" s="2"/>
    </row>
    <row r="42" spans="1:13" ht="15">
      <c r="A42" s="2" t="s">
        <v>36</v>
      </c>
      <c r="B42" s="42">
        <v>5</v>
      </c>
      <c r="C42" s="47">
        <v>0</v>
      </c>
      <c r="D42" s="13">
        <f t="shared" si="0"/>
        <v>0</v>
      </c>
      <c r="E42" s="13">
        <f t="shared" si="1"/>
        <v>5</v>
      </c>
      <c r="F42" s="2"/>
      <c r="G42" s="2"/>
      <c r="H42" s="2"/>
      <c r="I42" s="2"/>
      <c r="J42" s="2"/>
      <c r="K42" s="8"/>
      <c r="L42" s="2"/>
      <c r="M42" s="2"/>
    </row>
    <row r="43" spans="1:13" ht="15">
      <c r="A43" s="2" t="s">
        <v>37</v>
      </c>
      <c r="B43" s="42">
        <v>15</v>
      </c>
      <c r="C43" s="47">
        <v>1</v>
      </c>
      <c r="D43" s="13">
        <f t="shared" si="0"/>
        <v>15</v>
      </c>
      <c r="E43" s="13">
        <f t="shared" si="1"/>
        <v>0</v>
      </c>
      <c r="F43" s="2"/>
      <c r="G43" s="2"/>
      <c r="H43" s="2"/>
      <c r="I43" s="2"/>
      <c r="J43" s="2"/>
      <c r="K43" s="8"/>
      <c r="L43" s="2"/>
      <c r="M43" s="2"/>
    </row>
    <row r="44" spans="1:13" ht="15">
      <c r="A44" s="2" t="s">
        <v>38</v>
      </c>
      <c r="B44" s="23">
        <v>0</v>
      </c>
      <c r="C44" s="46">
        <v>0</v>
      </c>
      <c r="D44" s="13">
        <f t="shared" si="0"/>
        <v>0</v>
      </c>
      <c r="E44" s="13">
        <f t="shared" si="1"/>
        <v>0</v>
      </c>
      <c r="F44" s="2"/>
      <c r="G44" s="2"/>
      <c r="H44" s="2"/>
      <c r="I44" s="2"/>
      <c r="J44" s="2"/>
      <c r="K44" s="8"/>
      <c r="L44" s="2"/>
      <c r="M44" s="2"/>
    </row>
    <row r="45" spans="1:13" ht="15">
      <c r="A45" s="2" t="s">
        <v>39</v>
      </c>
      <c r="B45" s="26">
        <v>15</v>
      </c>
      <c r="C45" s="25">
        <v>1</v>
      </c>
      <c r="D45" s="13">
        <f t="shared" si="0"/>
        <v>15</v>
      </c>
      <c r="E45" s="13">
        <f t="shared" si="1"/>
        <v>0</v>
      </c>
      <c r="F45" s="2"/>
      <c r="G45" s="2"/>
      <c r="H45" s="2"/>
      <c r="I45" s="2"/>
      <c r="J45" s="2"/>
      <c r="K45" s="8"/>
      <c r="L45" s="2"/>
      <c r="M45" s="2"/>
    </row>
    <row r="46" spans="1:13" ht="15.75" thickBot="1">
      <c r="A46" s="2" t="s">
        <v>40</v>
      </c>
      <c r="B46" s="28">
        <v>0</v>
      </c>
      <c r="C46" s="25">
        <v>0</v>
      </c>
      <c r="D46" s="13">
        <f t="shared" si="0"/>
        <v>0</v>
      </c>
      <c r="E46" s="13">
        <f t="shared" si="1"/>
        <v>0</v>
      </c>
      <c r="F46" s="2"/>
      <c r="G46" s="2"/>
      <c r="H46" s="2"/>
      <c r="I46" s="2"/>
      <c r="J46" s="2"/>
      <c r="K46" s="8"/>
      <c r="L46" s="2"/>
      <c r="M46" s="2"/>
    </row>
    <row r="47" spans="1:13" ht="16.5" thickTop="1">
      <c r="A47" s="5" t="s">
        <v>67</v>
      </c>
      <c r="B47" s="50">
        <f>SUM(B28:B46)</f>
        <v>121.3</v>
      </c>
      <c r="C47" s="3"/>
      <c r="D47" s="50">
        <f>SUM(D28:D46)</f>
        <v>100.15</v>
      </c>
      <c r="E47" s="50">
        <f>SUM(E28:E46)</f>
        <v>21.15</v>
      </c>
      <c r="F47" s="2"/>
      <c r="G47" s="2"/>
      <c r="H47" s="2"/>
      <c r="I47" s="2"/>
      <c r="J47" s="2"/>
      <c r="K47" s="8"/>
      <c r="L47" s="2"/>
      <c r="M47" s="2"/>
    </row>
    <row r="48" spans="1:13" ht="15.75">
      <c r="A48" s="57" t="s">
        <v>66</v>
      </c>
      <c r="B48" s="17">
        <f>B47/B47</f>
        <v>1</v>
      </c>
      <c r="C48" s="17"/>
      <c r="D48" s="17">
        <f>D47/$B$47</f>
        <v>0.8256389117889531</v>
      </c>
      <c r="E48" s="17">
        <f>E47/$B$47</f>
        <v>0.17436108821104698</v>
      </c>
      <c r="F48" s="2"/>
      <c r="G48" s="2"/>
      <c r="H48" s="2"/>
      <c r="I48" s="2"/>
      <c r="J48" s="2"/>
      <c r="K48" s="8"/>
      <c r="L48" s="2"/>
      <c r="M48" s="2"/>
    </row>
    <row r="49" spans="1:13" ht="15">
      <c r="A49" s="2"/>
      <c r="B49" s="13"/>
      <c r="C49" s="3"/>
      <c r="D49" s="13"/>
      <c r="E49" s="13"/>
      <c r="F49" s="2"/>
      <c r="G49" s="2"/>
      <c r="H49" s="2"/>
      <c r="I49" s="2"/>
      <c r="J49" s="2"/>
      <c r="K49" s="8"/>
      <c r="L49" s="2"/>
      <c r="M49" s="2"/>
    </row>
    <row r="50" spans="1:13" ht="15.75">
      <c r="A50" s="5" t="s">
        <v>80</v>
      </c>
      <c r="B50" s="13">
        <f>B$24+B$47</f>
        <v>215.8675</v>
      </c>
      <c r="C50" s="3"/>
      <c r="D50" s="13">
        <f>$D$24+D$47</f>
        <v>175.73000000000002</v>
      </c>
      <c r="E50" s="13">
        <f>$E$24+E$47</f>
        <v>40.1375</v>
      </c>
      <c r="F50" s="2"/>
      <c r="G50" s="2"/>
      <c r="H50" s="2"/>
      <c r="I50" s="2"/>
      <c r="J50" s="2"/>
      <c r="K50" s="8"/>
      <c r="L50" s="2"/>
      <c r="M50" s="2"/>
    </row>
    <row r="51" spans="1:13" ht="15.75">
      <c r="A51" s="5" t="s">
        <v>81</v>
      </c>
      <c r="B51" s="17">
        <f>B50/$B$50</f>
        <v>1</v>
      </c>
      <c r="C51" s="3"/>
      <c r="D51" s="17">
        <f>D50/$B$50</f>
        <v>0.8140641828899673</v>
      </c>
      <c r="E51" s="17">
        <f>E50/$B$50</f>
        <v>0.1859358171100328</v>
      </c>
      <c r="F51" s="2"/>
      <c r="G51" s="2"/>
      <c r="H51" s="2"/>
      <c r="I51" s="2"/>
      <c r="J51" s="2"/>
      <c r="K51" s="8"/>
      <c r="L51" s="2"/>
      <c r="M51" s="2"/>
    </row>
    <row r="52" spans="1:13" ht="15.75">
      <c r="A52" s="5"/>
      <c r="B52" s="17"/>
      <c r="C52" s="3"/>
      <c r="D52" s="17"/>
      <c r="E52" s="17"/>
      <c r="F52" s="2"/>
      <c r="G52" s="2"/>
      <c r="H52" s="2"/>
      <c r="I52" s="2"/>
      <c r="J52" s="2"/>
      <c r="K52" s="8"/>
      <c r="L52" s="2"/>
      <c r="M52" s="2"/>
    </row>
    <row r="53" spans="1:13" ht="15.75">
      <c r="A53" s="56" t="s">
        <v>57</v>
      </c>
      <c r="B53" s="18">
        <f>Situation!B12*Situation!B13/100</f>
        <v>787.5</v>
      </c>
      <c r="C53" s="40"/>
      <c r="D53" s="20"/>
      <c r="E53" s="20">
        <f>+B53</f>
        <v>787.5</v>
      </c>
      <c r="F53" s="2"/>
      <c r="G53" s="2"/>
      <c r="H53" s="2"/>
      <c r="I53" s="2"/>
      <c r="J53" s="2"/>
      <c r="K53" s="8"/>
      <c r="L53" s="2"/>
      <c r="M53" s="2"/>
    </row>
    <row r="54" spans="1:13" ht="15.75">
      <c r="A54" s="5" t="s">
        <v>82</v>
      </c>
      <c r="B54" s="14">
        <f>B50+B53</f>
        <v>1003.3675000000001</v>
      </c>
      <c r="C54" s="71"/>
      <c r="D54" s="14">
        <f>D50+D53</f>
        <v>175.73000000000002</v>
      </c>
      <c r="E54" s="14">
        <f>E50+E53</f>
        <v>827.6375</v>
      </c>
      <c r="F54" s="2"/>
      <c r="G54" s="2"/>
      <c r="H54" s="2"/>
      <c r="I54" s="2"/>
      <c r="J54" s="2"/>
      <c r="K54" s="8"/>
      <c r="L54" s="2"/>
      <c r="M54" s="2"/>
    </row>
    <row r="55" spans="1:13" ht="15.75">
      <c r="A55" s="5" t="s">
        <v>83</v>
      </c>
      <c r="B55" s="110">
        <f>B54/B54</f>
        <v>1</v>
      </c>
      <c r="C55" s="71"/>
      <c r="D55" s="114">
        <f>D54/B54</f>
        <v>0.17514021532489343</v>
      </c>
      <c r="E55" s="114">
        <f>E54/B54</f>
        <v>0.8248597846751066</v>
      </c>
      <c r="F55" s="2"/>
      <c r="G55" s="2"/>
      <c r="H55" s="2"/>
      <c r="I55" s="2"/>
      <c r="J55" s="2"/>
      <c r="K55" s="8"/>
      <c r="L55" s="2"/>
      <c r="M55" s="2"/>
    </row>
    <row r="56" spans="1:13" ht="15.75">
      <c r="A56" s="5"/>
      <c r="B56" s="14"/>
      <c r="C56" s="71"/>
      <c r="D56" s="14"/>
      <c r="E56" s="14"/>
      <c r="F56" s="2"/>
      <c r="G56" s="2"/>
      <c r="H56" s="2"/>
      <c r="I56" s="2"/>
      <c r="J56" s="2"/>
      <c r="K56" s="8"/>
      <c r="L56" s="2"/>
      <c r="M56" s="2"/>
    </row>
    <row r="57" spans="1:13" ht="16.5" thickBot="1">
      <c r="A57" s="5"/>
      <c r="B57" s="17"/>
      <c r="C57" s="3"/>
      <c r="D57" s="17"/>
      <c r="E57" s="17"/>
      <c r="H57" s="2"/>
      <c r="I57" s="2"/>
      <c r="J57" s="2"/>
      <c r="K57" s="8"/>
      <c r="L57" s="2"/>
      <c r="M57" s="2"/>
    </row>
    <row r="58" spans="1:13" ht="15.75">
      <c r="A58" s="64" t="s">
        <v>94</v>
      </c>
      <c r="B58" s="65"/>
      <c r="C58" s="66"/>
      <c r="D58" s="65"/>
      <c r="E58" s="65"/>
      <c r="F58" s="67"/>
      <c r="G58" s="67"/>
      <c r="H58" s="68"/>
      <c r="I58" s="69"/>
      <c r="J58" s="2"/>
      <c r="K58" s="8"/>
      <c r="L58" s="2"/>
      <c r="M58" s="2"/>
    </row>
    <row r="59" spans="1:12" ht="15.75">
      <c r="A59" s="70"/>
      <c r="B59" s="71"/>
      <c r="C59" s="72" t="s">
        <v>79</v>
      </c>
      <c r="D59" s="73"/>
      <c r="E59" s="73"/>
      <c r="F59" s="11"/>
      <c r="G59" s="63" t="s">
        <v>78</v>
      </c>
      <c r="H59" s="74"/>
      <c r="I59" s="75"/>
      <c r="J59" s="3"/>
      <c r="K59" s="3"/>
      <c r="L59" s="2"/>
    </row>
    <row r="60" spans="1:11" ht="15">
      <c r="A60" s="76" t="s">
        <v>86</v>
      </c>
      <c r="B60" s="61"/>
      <c r="C60" s="14">
        <f>Situation!B15*Situation!B16/100*(1-Situation!B18)</f>
        <v>1076.8239999999998</v>
      </c>
      <c r="D60" s="71"/>
      <c r="E60" s="71"/>
      <c r="F60" s="11"/>
      <c r="G60" s="60">
        <f>(Situation!B15*Situation!B16/100)*Situation!B9*(1-Situation!B18)</f>
        <v>53841.2</v>
      </c>
      <c r="H60" s="71"/>
      <c r="I60" s="77"/>
      <c r="J60" s="2"/>
      <c r="K60"/>
    </row>
    <row r="61" spans="1:11" ht="15">
      <c r="A61" s="78"/>
      <c r="B61" s="61"/>
      <c r="C61" s="61" t="s">
        <v>68</v>
      </c>
      <c r="D61" s="79" t="s">
        <v>92</v>
      </c>
      <c r="E61" s="79" t="s">
        <v>93</v>
      </c>
      <c r="F61" s="11"/>
      <c r="G61" s="61" t="s">
        <v>68</v>
      </c>
      <c r="H61" s="79" t="s">
        <v>92</v>
      </c>
      <c r="I61" s="80" t="s">
        <v>93</v>
      </c>
      <c r="K61"/>
    </row>
    <row r="62" spans="1:11" ht="15">
      <c r="A62" s="81" t="s">
        <v>60</v>
      </c>
      <c r="B62" s="61"/>
      <c r="C62" s="61"/>
      <c r="D62" s="51">
        <v>0.4</v>
      </c>
      <c r="E62" s="109"/>
      <c r="F62" s="82"/>
      <c r="G62" s="61"/>
      <c r="H62" s="58">
        <f>D62</f>
        <v>0.4</v>
      </c>
      <c r="I62" s="111"/>
      <c r="K62"/>
    </row>
    <row r="63" spans="1:11" ht="15">
      <c r="A63" s="84" t="s">
        <v>61</v>
      </c>
      <c r="B63" s="61"/>
      <c r="C63" s="62">
        <f>D63+E63</f>
        <v>1076.8239999999998</v>
      </c>
      <c r="D63" s="14">
        <f>Situation!G14*D62</f>
        <v>88</v>
      </c>
      <c r="E63" s="62">
        <f>C60-D63</f>
        <v>988.8239999999998</v>
      </c>
      <c r="F63" s="11"/>
      <c r="G63" s="62">
        <f>H63+I63</f>
        <v>53841.2</v>
      </c>
      <c r="H63" s="14">
        <f>Situation!G14*D62*Situation!B9</f>
        <v>4400</v>
      </c>
      <c r="I63" s="85">
        <f>G60-H63</f>
        <v>49441.2</v>
      </c>
      <c r="K63"/>
    </row>
    <row r="64" spans="1:11" ht="15">
      <c r="A64" s="86"/>
      <c r="B64" s="61"/>
      <c r="C64" s="61"/>
      <c r="D64" s="14"/>
      <c r="E64" s="62"/>
      <c r="F64" s="11"/>
      <c r="G64" s="61"/>
      <c r="H64" s="14"/>
      <c r="I64" s="85"/>
      <c r="K64"/>
    </row>
    <row r="65" spans="1:11" ht="15.75" thickBot="1">
      <c r="A65" s="87" t="s">
        <v>41</v>
      </c>
      <c r="B65" s="71"/>
      <c r="C65" s="62">
        <f>D65+E65</f>
        <v>121.30000000000001</v>
      </c>
      <c r="D65" s="14">
        <f>D47</f>
        <v>100.15</v>
      </c>
      <c r="E65" s="14">
        <f>E47</f>
        <v>21.15</v>
      </c>
      <c r="F65" s="11"/>
      <c r="G65" s="62">
        <f>H65+I65</f>
        <v>6065</v>
      </c>
      <c r="H65" s="14">
        <f>D47*Situation!B9</f>
        <v>5007.5</v>
      </c>
      <c r="I65" s="88">
        <f>E47*Situation!B9</f>
        <v>1057.5</v>
      </c>
      <c r="K65"/>
    </row>
    <row r="66" spans="1:11" ht="15">
      <c r="A66" s="87" t="s">
        <v>42</v>
      </c>
      <c r="B66" s="71"/>
      <c r="C66" s="55">
        <f>C63-C65</f>
        <v>955.5239999999999</v>
      </c>
      <c r="D66" s="55">
        <f>D63-D65</f>
        <v>-12.150000000000006</v>
      </c>
      <c r="E66" s="55">
        <f>E63-E65</f>
        <v>967.6739999999999</v>
      </c>
      <c r="F66" s="11"/>
      <c r="G66" s="55">
        <f>G63-G65</f>
        <v>47776.2</v>
      </c>
      <c r="H66" s="55">
        <f>H63-H65</f>
        <v>-607.5</v>
      </c>
      <c r="I66" s="89">
        <f>I63-I65</f>
        <v>48383.7</v>
      </c>
      <c r="K66"/>
    </row>
    <row r="67" spans="1:11" ht="15">
      <c r="A67" s="87"/>
      <c r="B67" s="71"/>
      <c r="C67" s="61"/>
      <c r="D67" s="14"/>
      <c r="E67" s="14"/>
      <c r="F67" s="11"/>
      <c r="G67" s="61"/>
      <c r="H67" s="14"/>
      <c r="I67" s="88"/>
      <c r="J67" s="2"/>
      <c r="K67"/>
    </row>
    <row r="68" spans="1:11" ht="15">
      <c r="A68" s="87" t="s">
        <v>25</v>
      </c>
      <c r="B68" s="71"/>
      <c r="C68" s="62">
        <f>D68+E68</f>
        <v>94.5675</v>
      </c>
      <c r="D68" s="14">
        <f>D24</f>
        <v>75.58</v>
      </c>
      <c r="E68" s="14">
        <f>E24</f>
        <v>18.9875</v>
      </c>
      <c r="F68" s="11"/>
      <c r="G68" s="62">
        <f>H68+I68</f>
        <v>4728.375</v>
      </c>
      <c r="H68" s="14">
        <f>D24*Situation!B9</f>
        <v>3779</v>
      </c>
      <c r="I68" s="88">
        <f>E24*Situation!B9</f>
        <v>949.375</v>
      </c>
      <c r="K68"/>
    </row>
    <row r="69" spans="1:11" ht="15">
      <c r="A69" s="87"/>
      <c r="B69" s="71"/>
      <c r="C69" s="62"/>
      <c r="D69" s="14"/>
      <c r="E69" s="14"/>
      <c r="F69" s="11"/>
      <c r="G69" s="62"/>
      <c r="H69" s="14"/>
      <c r="I69" s="88"/>
      <c r="K69"/>
    </row>
    <row r="70" spans="1:11" ht="15.75" thickBot="1">
      <c r="A70" s="107" t="s">
        <v>85</v>
      </c>
      <c r="B70" s="71"/>
      <c r="C70" s="62">
        <f>E70</f>
        <v>787.5</v>
      </c>
      <c r="D70" s="14"/>
      <c r="E70" s="14">
        <f>B53</f>
        <v>787.5</v>
      </c>
      <c r="F70" s="11"/>
      <c r="G70" s="62">
        <f>I70</f>
        <v>39375</v>
      </c>
      <c r="H70" s="14"/>
      <c r="I70" s="88">
        <f>E70*Situation!B9</f>
        <v>39375</v>
      </c>
      <c r="K70"/>
    </row>
    <row r="71" spans="1:11" ht="15.75" thickBot="1">
      <c r="A71" s="90" t="s">
        <v>43</v>
      </c>
      <c r="B71" s="91"/>
      <c r="C71" s="92">
        <f>C66-C68-C70</f>
        <v>73.45649999999989</v>
      </c>
      <c r="D71" s="92">
        <f>D66-D68-D70</f>
        <v>-87.73</v>
      </c>
      <c r="E71" s="92">
        <f>E66-E68-E70</f>
        <v>161.1864999999999</v>
      </c>
      <c r="F71" s="93"/>
      <c r="G71" s="92">
        <f>G66-G68-G70</f>
        <v>3672.824999999997</v>
      </c>
      <c r="H71" s="92">
        <f>H66-H68-H70</f>
        <v>-4386.5</v>
      </c>
      <c r="I71" s="94">
        <f>I66-I68-I70</f>
        <v>8059.324999999997</v>
      </c>
      <c r="K71"/>
    </row>
    <row r="72" spans="7:11" ht="15.75" thickBot="1">
      <c r="G72" s="11"/>
      <c r="H72" s="21"/>
      <c r="I72" s="21"/>
      <c r="J72" s="21"/>
      <c r="K72" s="21"/>
    </row>
    <row r="73" spans="1:11" ht="15.75">
      <c r="A73" s="95" t="s">
        <v>95</v>
      </c>
      <c r="B73" s="96"/>
      <c r="C73" s="96"/>
      <c r="D73" s="96"/>
      <c r="E73" s="96"/>
      <c r="F73" s="67"/>
      <c r="G73" s="67"/>
      <c r="H73" s="96"/>
      <c r="I73" s="97"/>
      <c r="J73" s="21"/>
      <c r="K73" s="21"/>
    </row>
    <row r="74" spans="1:11" ht="15.75">
      <c r="A74" s="70"/>
      <c r="B74" s="61"/>
      <c r="C74" s="72" t="s">
        <v>79</v>
      </c>
      <c r="D74" s="73"/>
      <c r="E74" s="73"/>
      <c r="F74" s="11"/>
      <c r="G74" s="63" t="s">
        <v>78</v>
      </c>
      <c r="H74" s="74"/>
      <c r="I74" s="75"/>
      <c r="J74" s="21"/>
      <c r="K74" s="21"/>
    </row>
    <row r="75" spans="1:11" ht="15">
      <c r="A75" s="76" t="s">
        <v>86</v>
      </c>
      <c r="B75" s="61"/>
      <c r="C75" s="14">
        <f>Situation!B15*Situation!B16/100*(1-Situation!B18)</f>
        <v>1076.8239999999998</v>
      </c>
      <c r="D75" s="61"/>
      <c r="E75" s="61"/>
      <c r="F75" s="11"/>
      <c r="G75" s="60">
        <f>(Situation!B15*Situation!B16/100)*Situation!B9*(1-Situation!B18)</f>
        <v>53841.2</v>
      </c>
      <c r="H75" s="61"/>
      <c r="I75" s="83"/>
      <c r="K75"/>
    </row>
    <row r="76" spans="1:11" ht="15">
      <c r="A76" s="98"/>
      <c r="B76" s="61"/>
      <c r="C76" s="61" t="s">
        <v>68</v>
      </c>
      <c r="D76" s="79" t="s">
        <v>92</v>
      </c>
      <c r="E76" s="79" t="s">
        <v>93</v>
      </c>
      <c r="F76" s="11"/>
      <c r="G76" s="61" t="s">
        <v>68</v>
      </c>
      <c r="H76" s="79" t="s">
        <v>92</v>
      </c>
      <c r="I76" s="80" t="s">
        <v>93</v>
      </c>
      <c r="K76"/>
    </row>
    <row r="77" spans="1:11" ht="15">
      <c r="A77" s="98" t="s">
        <v>59</v>
      </c>
      <c r="B77" s="61"/>
      <c r="C77" s="61"/>
      <c r="D77" s="25">
        <v>0.2</v>
      </c>
      <c r="E77" s="99">
        <f>1-D77</f>
        <v>0.8</v>
      </c>
      <c r="F77" s="11"/>
      <c r="G77" s="61"/>
      <c r="H77" s="59">
        <f>D77</f>
        <v>0.2</v>
      </c>
      <c r="I77" s="100">
        <f>1-H77</f>
        <v>0.8</v>
      </c>
      <c r="K77"/>
    </row>
    <row r="78" spans="1:11" ht="15">
      <c r="A78" s="84" t="s">
        <v>61</v>
      </c>
      <c r="B78" s="61"/>
      <c r="C78" s="62">
        <f>D78+E78</f>
        <v>1076.8239999999998</v>
      </c>
      <c r="D78" s="62">
        <f>C75*D77</f>
        <v>215.36479999999997</v>
      </c>
      <c r="E78" s="14">
        <f>C75-D78</f>
        <v>861.4591999999999</v>
      </c>
      <c r="F78" s="11"/>
      <c r="G78" s="62">
        <f>H78+I78</f>
        <v>53841.2</v>
      </c>
      <c r="H78" s="62">
        <f>G75*H77</f>
        <v>10768.24</v>
      </c>
      <c r="I78" s="88">
        <f>G75-H78</f>
        <v>43072.96</v>
      </c>
      <c r="K78"/>
    </row>
    <row r="79" spans="1:11" ht="15">
      <c r="A79" s="98"/>
      <c r="B79" s="61"/>
      <c r="C79" s="61"/>
      <c r="D79" s="62"/>
      <c r="E79" s="71"/>
      <c r="F79" s="11"/>
      <c r="G79" s="61"/>
      <c r="H79" s="62"/>
      <c r="I79" s="77"/>
      <c r="K79"/>
    </row>
    <row r="80" spans="1:11" ht="15.75" thickBot="1">
      <c r="A80" s="87" t="s">
        <v>41</v>
      </c>
      <c r="B80" s="61"/>
      <c r="C80" s="62">
        <f>D80+E80</f>
        <v>121.30000000000001</v>
      </c>
      <c r="D80" s="14">
        <f>D47</f>
        <v>100.15</v>
      </c>
      <c r="E80" s="62">
        <f>E47</f>
        <v>21.15</v>
      </c>
      <c r="F80" s="11"/>
      <c r="G80" s="62">
        <f>H80+I80</f>
        <v>6065</v>
      </c>
      <c r="H80" s="14">
        <f>D47*Situation!B9</f>
        <v>5007.5</v>
      </c>
      <c r="I80" s="85">
        <f>E47*Situation!B9</f>
        <v>1057.5</v>
      </c>
      <c r="K80"/>
    </row>
    <row r="81" spans="1:11" ht="15">
      <c r="A81" s="87" t="s">
        <v>42</v>
      </c>
      <c r="B81" s="61"/>
      <c r="C81" s="55">
        <f>C78-C80-C86</f>
        <v>168.0239999999999</v>
      </c>
      <c r="D81" s="55">
        <f>D78-D80-D86</f>
        <v>115.21479999999997</v>
      </c>
      <c r="E81" s="55">
        <f>E78-E80-E86</f>
        <v>52.80919999999992</v>
      </c>
      <c r="F81" s="11"/>
      <c r="G81" s="55">
        <f>G78-G80</f>
        <v>47776.2</v>
      </c>
      <c r="H81" s="55">
        <f>H78-H80</f>
        <v>5760.74</v>
      </c>
      <c r="I81" s="89">
        <f>I78-I80</f>
        <v>42015.46</v>
      </c>
      <c r="K81"/>
    </row>
    <row r="82" spans="1:11" ht="15">
      <c r="A82" s="87"/>
      <c r="B82" s="61"/>
      <c r="C82" s="61"/>
      <c r="D82" s="14"/>
      <c r="E82" s="61"/>
      <c r="F82" s="11"/>
      <c r="G82" s="61"/>
      <c r="H82" s="14"/>
      <c r="I82" s="83"/>
      <c r="K82"/>
    </row>
    <row r="83" spans="1:11" ht="15">
      <c r="A83" s="87" t="s">
        <v>25</v>
      </c>
      <c r="B83" s="61"/>
      <c r="C83" s="62">
        <f>D83+E83</f>
        <v>94.5675</v>
      </c>
      <c r="D83" s="14">
        <f>D24</f>
        <v>75.58</v>
      </c>
      <c r="E83" s="14">
        <f>E24</f>
        <v>18.9875</v>
      </c>
      <c r="F83" s="11"/>
      <c r="G83" s="62">
        <f>H83+I83</f>
        <v>4728.375</v>
      </c>
      <c r="H83" s="14">
        <f>D24*Situation!$B$9</f>
        <v>3779</v>
      </c>
      <c r="I83" s="88">
        <f>E24*Situation!$B$9</f>
        <v>949.375</v>
      </c>
      <c r="K83"/>
    </row>
    <row r="84" spans="1:11" ht="15">
      <c r="A84" s="87"/>
      <c r="B84" s="61"/>
      <c r="C84" s="62"/>
      <c r="D84" s="14"/>
      <c r="E84" s="14"/>
      <c r="F84" s="11"/>
      <c r="G84" s="62"/>
      <c r="H84" s="14"/>
      <c r="I84" s="88"/>
      <c r="K84"/>
    </row>
    <row r="85" spans="1:11" ht="15">
      <c r="A85" s="98" t="s">
        <v>87</v>
      </c>
      <c r="B85" s="61"/>
      <c r="C85" s="61"/>
      <c r="D85" s="104">
        <v>0</v>
      </c>
      <c r="E85" s="105">
        <f>1-D85</f>
        <v>1</v>
      </c>
      <c r="F85" s="11"/>
      <c r="G85" s="61"/>
      <c r="H85" s="106">
        <f>D85</f>
        <v>0</v>
      </c>
      <c r="I85" s="108">
        <f>1-H85</f>
        <v>1</v>
      </c>
      <c r="K85"/>
    </row>
    <row r="86" spans="1:11" ht="15.75" thickBot="1">
      <c r="A86" s="107" t="s">
        <v>85</v>
      </c>
      <c r="B86" s="61"/>
      <c r="C86" s="62">
        <f>B53</f>
        <v>787.5</v>
      </c>
      <c r="D86" s="62">
        <f>D85*C86</f>
        <v>0</v>
      </c>
      <c r="E86" s="14">
        <f>E85*C86</f>
        <v>787.5</v>
      </c>
      <c r="F86" s="11"/>
      <c r="G86" s="62">
        <f>Situation!B9*B53</f>
        <v>39375</v>
      </c>
      <c r="H86" s="62">
        <f>H85*G86</f>
        <v>0</v>
      </c>
      <c r="I86" s="88">
        <f>I85*G86</f>
        <v>39375</v>
      </c>
      <c r="K86"/>
    </row>
    <row r="87" spans="1:11" ht="15.75" thickBot="1">
      <c r="A87" s="90" t="s">
        <v>43</v>
      </c>
      <c r="B87" s="101"/>
      <c r="C87" s="92">
        <f>C81-C83</f>
        <v>73.45649999999989</v>
      </c>
      <c r="D87" s="92">
        <f>D81-D83</f>
        <v>39.63479999999997</v>
      </c>
      <c r="E87" s="92">
        <f>E81-E83</f>
        <v>33.82169999999992</v>
      </c>
      <c r="F87" s="102"/>
      <c r="G87" s="92">
        <f>G81-G83-G86</f>
        <v>3672.824999999997</v>
      </c>
      <c r="H87" s="92">
        <f>H81-H83-H86</f>
        <v>1981.7399999999998</v>
      </c>
      <c r="I87" s="94">
        <f>I81-I83-I86</f>
        <v>1691.0849999999991</v>
      </c>
      <c r="K87"/>
    </row>
    <row r="88" spans="7:11" ht="15.75" thickBot="1">
      <c r="G88" s="11"/>
      <c r="H88" s="21"/>
      <c r="I88" s="21"/>
      <c r="J88" s="21"/>
      <c r="K88" s="21"/>
    </row>
    <row r="89" spans="1:11" ht="15.75">
      <c r="A89" s="95" t="s">
        <v>96</v>
      </c>
      <c r="B89" s="96"/>
      <c r="C89" s="96"/>
      <c r="D89" s="96"/>
      <c r="E89" s="96"/>
      <c r="F89" s="67"/>
      <c r="G89" s="67"/>
      <c r="H89" s="96"/>
      <c r="I89" s="97"/>
      <c r="J89" s="21"/>
      <c r="K89" s="21"/>
    </row>
    <row r="90" spans="1:11" ht="15.75">
      <c r="A90" s="70"/>
      <c r="B90" s="61"/>
      <c r="C90" s="72" t="s">
        <v>79</v>
      </c>
      <c r="D90" s="73"/>
      <c r="E90" s="73"/>
      <c r="F90" s="11"/>
      <c r="G90" s="63" t="s">
        <v>78</v>
      </c>
      <c r="H90" s="74"/>
      <c r="I90" s="75"/>
      <c r="J90" s="21"/>
      <c r="K90" s="21"/>
    </row>
    <row r="91" spans="1:11" ht="15">
      <c r="A91" s="76" t="s">
        <v>86</v>
      </c>
      <c r="B91" s="61"/>
      <c r="C91" s="14">
        <f>Situation!B15*Situation!B16/100*(1-Situation!B18)</f>
        <v>1076.8239999999998</v>
      </c>
      <c r="D91" s="61"/>
      <c r="E91" s="61"/>
      <c r="F91" s="11"/>
      <c r="G91" s="14">
        <f>Situation!B15*Situation!B16/100*Situation!B9*(1-Situation!B18)</f>
        <v>53841.2</v>
      </c>
      <c r="H91" s="61"/>
      <c r="I91" s="83"/>
      <c r="K91"/>
    </row>
    <row r="92" spans="1:11" ht="15.75" thickBot="1">
      <c r="A92" s="107" t="s">
        <v>85</v>
      </c>
      <c r="B92" s="61"/>
      <c r="C92" s="14">
        <f>B53</f>
        <v>787.5</v>
      </c>
      <c r="D92" s="61"/>
      <c r="E92" s="61"/>
      <c r="F92" s="11"/>
      <c r="G92" s="14">
        <f>C92*Situation!B9</f>
        <v>39375</v>
      </c>
      <c r="H92" s="61"/>
      <c r="I92" s="83"/>
      <c r="K92"/>
    </row>
    <row r="93" spans="1:11" ht="15">
      <c r="A93" s="76" t="s">
        <v>69</v>
      </c>
      <c r="B93" s="14"/>
      <c r="C93" s="55">
        <f>C91-C92</f>
        <v>289.32399999999984</v>
      </c>
      <c r="D93" s="61"/>
      <c r="E93" s="61"/>
      <c r="F93" s="11"/>
      <c r="G93" s="55">
        <f>G91-G92</f>
        <v>14466.199999999997</v>
      </c>
      <c r="H93" s="61"/>
      <c r="I93" s="83"/>
      <c r="K93"/>
    </row>
    <row r="94" spans="1:11" ht="15">
      <c r="A94" s="98"/>
      <c r="B94" s="61"/>
      <c r="C94" s="61" t="s">
        <v>68</v>
      </c>
      <c r="D94" s="79" t="s">
        <v>92</v>
      </c>
      <c r="E94" s="79" t="s">
        <v>93</v>
      </c>
      <c r="F94" s="11"/>
      <c r="G94" s="61" t="s">
        <v>68</v>
      </c>
      <c r="H94" s="79" t="s">
        <v>92</v>
      </c>
      <c r="I94" s="80" t="s">
        <v>93</v>
      </c>
      <c r="K94"/>
    </row>
    <row r="95" spans="1:11" ht="15">
      <c r="A95" s="98" t="s">
        <v>70</v>
      </c>
      <c r="B95" s="61"/>
      <c r="C95" s="61"/>
      <c r="D95" s="25">
        <v>0.5</v>
      </c>
      <c r="E95" s="99">
        <f>1-D95</f>
        <v>0.5</v>
      </c>
      <c r="F95" s="11"/>
      <c r="G95" s="61"/>
      <c r="H95" s="59">
        <f>D95</f>
        <v>0.5</v>
      </c>
      <c r="I95" s="100">
        <f>1-H95</f>
        <v>0.5</v>
      </c>
      <c r="K95"/>
    </row>
    <row r="96" spans="1:11" ht="15">
      <c r="A96" s="84" t="s">
        <v>71</v>
      </c>
      <c r="B96" s="61"/>
      <c r="C96" s="62">
        <f>C93</f>
        <v>289.32399999999984</v>
      </c>
      <c r="D96" s="62">
        <f>D95*C96</f>
        <v>144.66199999999992</v>
      </c>
      <c r="E96" s="14">
        <f>E95*C96</f>
        <v>144.66199999999992</v>
      </c>
      <c r="F96" s="11"/>
      <c r="G96" s="62">
        <f>G93</f>
        <v>14466.199999999997</v>
      </c>
      <c r="H96" s="62">
        <f>H95*G96</f>
        <v>7233.0999999999985</v>
      </c>
      <c r="I96" s="88">
        <f>I95*G96</f>
        <v>7233.0999999999985</v>
      </c>
      <c r="K96"/>
    </row>
    <row r="97" spans="1:11" ht="15">
      <c r="A97" s="98"/>
      <c r="B97" s="61"/>
      <c r="C97" s="61"/>
      <c r="D97" s="62"/>
      <c r="E97" s="71"/>
      <c r="F97" s="11"/>
      <c r="G97" s="61"/>
      <c r="H97" s="62"/>
      <c r="I97" s="77"/>
      <c r="K97"/>
    </row>
    <row r="98" spans="1:11" ht="15.75" thickBot="1">
      <c r="A98" s="87" t="s">
        <v>41</v>
      </c>
      <c r="B98" s="61"/>
      <c r="C98" s="62">
        <f>D98+E98</f>
        <v>121.30000000000001</v>
      </c>
      <c r="D98" s="14">
        <f>D47</f>
        <v>100.15</v>
      </c>
      <c r="E98" s="62">
        <f>E47</f>
        <v>21.15</v>
      </c>
      <c r="F98" s="11"/>
      <c r="G98" s="62">
        <f>H98+I98</f>
        <v>6065</v>
      </c>
      <c r="H98" s="14">
        <f>D47*Situation!B9</f>
        <v>5007.5</v>
      </c>
      <c r="I98" s="85">
        <f>E47*Situation!B9</f>
        <v>1057.5</v>
      </c>
      <c r="K98"/>
    </row>
    <row r="99" spans="1:11" ht="15">
      <c r="A99" s="87" t="s">
        <v>42</v>
      </c>
      <c r="B99" s="61"/>
      <c r="C99" s="55">
        <f>C96-C98</f>
        <v>168.02399999999983</v>
      </c>
      <c r="D99" s="55">
        <f>D96-D98</f>
        <v>44.511999999999915</v>
      </c>
      <c r="E99" s="55">
        <f>E96-E98</f>
        <v>123.51199999999992</v>
      </c>
      <c r="F99" s="11"/>
      <c r="G99" s="55">
        <f>G96-G98</f>
        <v>8401.199999999997</v>
      </c>
      <c r="H99" s="49">
        <f>H96-H98</f>
        <v>2225.5999999999985</v>
      </c>
      <c r="I99" s="89">
        <f>I96-I98</f>
        <v>6175.5999999999985</v>
      </c>
      <c r="K99"/>
    </row>
    <row r="100" spans="1:11" ht="15">
      <c r="A100" s="87"/>
      <c r="B100" s="61"/>
      <c r="C100" s="61"/>
      <c r="D100" s="14"/>
      <c r="E100" s="61"/>
      <c r="F100" s="11"/>
      <c r="G100" s="61"/>
      <c r="H100" s="14"/>
      <c r="I100" s="83"/>
      <c r="K100"/>
    </row>
    <row r="101" spans="1:11" ht="15.75" thickBot="1">
      <c r="A101" s="87" t="s">
        <v>25</v>
      </c>
      <c r="B101" s="61"/>
      <c r="C101" s="62">
        <f>D101+E101</f>
        <v>94.5675</v>
      </c>
      <c r="D101" s="14">
        <f>D24</f>
        <v>75.58</v>
      </c>
      <c r="E101" s="14">
        <f>E24</f>
        <v>18.9875</v>
      </c>
      <c r="F101" s="11"/>
      <c r="G101" s="62">
        <f>H101+I101</f>
        <v>4728.375</v>
      </c>
      <c r="H101" s="14">
        <f>D24*Situation!B9</f>
        <v>3779</v>
      </c>
      <c r="I101" s="88">
        <f>E24*Situation!B9</f>
        <v>949.375</v>
      </c>
      <c r="K101"/>
    </row>
    <row r="102" spans="1:11" ht="15.75" thickBot="1">
      <c r="A102" s="90" t="s">
        <v>43</v>
      </c>
      <c r="B102" s="101"/>
      <c r="C102" s="92">
        <f>C99-C101</f>
        <v>73.45649999999983</v>
      </c>
      <c r="D102" s="92">
        <f>D99-D101</f>
        <v>-31.068000000000083</v>
      </c>
      <c r="E102" s="92">
        <f>E99-E101</f>
        <v>104.52449999999992</v>
      </c>
      <c r="F102" s="102"/>
      <c r="G102" s="92">
        <f>G99-G101</f>
        <v>3672.824999999997</v>
      </c>
      <c r="H102" s="103">
        <f>H99-H101</f>
        <v>-1553.4000000000015</v>
      </c>
      <c r="I102" s="94">
        <f>I99-I101</f>
        <v>5226.2249999999985</v>
      </c>
      <c r="K102"/>
    </row>
    <row r="103" ht="15">
      <c r="F103" s="12"/>
    </row>
  </sheetData>
  <sheetProtection/>
  <printOptions/>
  <pageMargins left="0.5" right="0.5" top="0.5" bottom="0.5" header="0.5" footer="0.5"/>
  <pageSetup fitToHeight="1" fitToWidth="1" horizontalDpi="300" verticalDpi="3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02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2.6640625" defaultRowHeight="15"/>
  <cols>
    <col min="1" max="1" width="31.77734375" style="0" customWidth="1"/>
    <col min="2" max="5" width="12.6640625" style="0" customWidth="1"/>
    <col min="6" max="6" width="6.6640625" style="0" customWidth="1"/>
  </cols>
  <sheetData>
    <row r="1" spans="1:5" ht="18.75">
      <c r="A1" s="1" t="s">
        <v>55</v>
      </c>
      <c r="B1" s="3"/>
      <c r="C1" s="3"/>
      <c r="D1" s="3"/>
      <c r="E1" s="3"/>
    </row>
    <row r="2" spans="1:5" ht="15.75">
      <c r="A2" s="4" t="s">
        <v>52</v>
      </c>
      <c r="B2" s="3"/>
      <c r="C2" s="3"/>
      <c r="D2" s="3"/>
      <c r="E2" s="3"/>
    </row>
    <row r="3" spans="1:5" ht="15.75">
      <c r="A3" s="2"/>
      <c r="B3" s="4" t="s">
        <v>1</v>
      </c>
      <c r="C3" s="4" t="s">
        <v>92</v>
      </c>
      <c r="D3" s="4" t="s">
        <v>92</v>
      </c>
      <c r="E3" s="4" t="s">
        <v>93</v>
      </c>
    </row>
    <row r="4" spans="1:5" ht="15.75">
      <c r="A4" s="5" t="s">
        <v>2</v>
      </c>
      <c r="B4" s="4" t="s">
        <v>3</v>
      </c>
      <c r="C4" s="4" t="s">
        <v>4</v>
      </c>
      <c r="D4" s="4" t="s">
        <v>5</v>
      </c>
      <c r="E4" s="4" t="s">
        <v>3</v>
      </c>
    </row>
    <row r="5" spans="1:5" ht="15">
      <c r="A5" s="6" t="s">
        <v>7</v>
      </c>
      <c r="B5" s="3"/>
      <c r="C5" s="3"/>
      <c r="D5" s="3"/>
      <c r="E5" s="3"/>
    </row>
    <row r="6" spans="1:5" ht="15">
      <c r="A6" s="2" t="s">
        <v>8</v>
      </c>
      <c r="B6" s="13">
        <f>((Situation!B4*Situation!B5)/Situation!B9)*Situation!B7*Situation!B8</f>
        <v>37.5</v>
      </c>
      <c r="C6" s="25">
        <v>1</v>
      </c>
      <c r="D6" s="13">
        <f>B6*C6</f>
        <v>37.5</v>
      </c>
      <c r="E6" s="13">
        <f>B6-D6</f>
        <v>0</v>
      </c>
    </row>
    <row r="7" spans="1:5" ht="15">
      <c r="A7" s="2" t="s">
        <v>9</v>
      </c>
      <c r="B7" s="53">
        <f>Situation!B4*Situation!B5*Situation!B6/Situation!B9*Situation!B8</f>
        <v>7.5</v>
      </c>
      <c r="C7" s="46">
        <v>1</v>
      </c>
      <c r="D7" s="13">
        <f>B7*C7</f>
        <v>7.5</v>
      </c>
      <c r="E7" s="13">
        <f>B7-D7</f>
        <v>0</v>
      </c>
    </row>
    <row r="8" spans="1:5" ht="15">
      <c r="A8" s="2" t="s">
        <v>10</v>
      </c>
      <c r="B8" s="52">
        <v>0</v>
      </c>
      <c r="C8" s="25">
        <v>1</v>
      </c>
      <c r="D8" s="13">
        <f>B8*C8</f>
        <v>0</v>
      </c>
      <c r="E8" s="13">
        <f>B8-D8</f>
        <v>0</v>
      </c>
    </row>
    <row r="9" spans="1:5" ht="15">
      <c r="A9" s="2"/>
      <c r="B9" s="14"/>
      <c r="C9" s="40"/>
      <c r="D9" s="13"/>
      <c r="E9" s="13"/>
    </row>
    <row r="10" spans="1:5" ht="15">
      <c r="A10" s="6" t="s">
        <v>44</v>
      </c>
      <c r="B10" s="13" t="s">
        <v>11</v>
      </c>
      <c r="C10" s="41"/>
      <c r="D10" s="13"/>
      <c r="E10" s="3"/>
    </row>
    <row r="11" spans="1:5" ht="15">
      <c r="A11" s="2" t="s">
        <v>12</v>
      </c>
      <c r="B11" s="13">
        <f>((Situation!$B$12*Situation!$B$13/100)*(Situation!G13/30))*Situation!$B$14/12</f>
        <v>4.8125</v>
      </c>
      <c r="C11" s="25">
        <v>0</v>
      </c>
      <c r="D11" s="13">
        <f>B11*C11</f>
        <v>0</v>
      </c>
      <c r="E11" s="13">
        <f>B11-D11</f>
        <v>4.8125</v>
      </c>
    </row>
    <row r="12" spans="1:5" ht="15">
      <c r="A12" s="2" t="s">
        <v>14</v>
      </c>
      <c r="B12" s="13">
        <f>((Situation!$B$12*Situation!$B$13/100)/2)*Situation!$B$17</f>
        <v>6.3</v>
      </c>
      <c r="C12" s="25">
        <v>0</v>
      </c>
      <c r="D12" s="13">
        <f>B12*C12</f>
        <v>0</v>
      </c>
      <c r="E12" s="13">
        <f>B12-D12</f>
        <v>6.3</v>
      </c>
    </row>
    <row r="13" spans="1:5" ht="15">
      <c r="A13" s="2" t="s">
        <v>15</v>
      </c>
      <c r="B13" s="13">
        <f>Situation!$B$18*(Situation!$B$12*Situation!$B$13/100)/2</f>
        <v>7.875</v>
      </c>
      <c r="C13" s="25">
        <v>0</v>
      </c>
      <c r="D13" s="13">
        <f>B13*C13</f>
        <v>0</v>
      </c>
      <c r="E13" s="13">
        <f>B13-D13</f>
        <v>7.875</v>
      </c>
    </row>
    <row r="14" spans="1:5" ht="15">
      <c r="A14" s="2"/>
      <c r="B14" s="13"/>
      <c r="C14" s="41"/>
      <c r="D14" s="13"/>
      <c r="E14" s="13"/>
    </row>
    <row r="15" spans="1:5" ht="15">
      <c r="A15" s="6" t="s">
        <v>17</v>
      </c>
      <c r="B15" s="13" t="s">
        <v>11</v>
      </c>
      <c r="C15" s="41"/>
      <c r="D15" s="13"/>
      <c r="E15" s="13"/>
    </row>
    <row r="16" spans="1:5" ht="15">
      <c r="A16" s="2" t="s">
        <v>12</v>
      </c>
      <c r="B16" s="116">
        <f>(((Situation!B20+Situation!B21)/2)*Situation!B22*Situation!B23)/Situation!B9</f>
        <v>3.1</v>
      </c>
      <c r="C16" s="117">
        <v>1</v>
      </c>
      <c r="D16" s="116">
        <f>B16*C16</f>
        <v>3.1</v>
      </c>
      <c r="E16" s="116">
        <f>B16-D16</f>
        <v>0</v>
      </c>
    </row>
    <row r="17" spans="1:5" ht="15">
      <c r="A17" s="2" t="s">
        <v>13</v>
      </c>
      <c r="B17" s="116">
        <f>(((Situation!B20-Situation!B21)/Situation!B24)/Situation!B9)*Situation!B22</f>
        <v>18</v>
      </c>
      <c r="C17" s="117">
        <v>1</v>
      </c>
      <c r="D17" s="116">
        <f>B17*C17</f>
        <v>18</v>
      </c>
      <c r="E17" s="116">
        <f>B17-D17</f>
        <v>0</v>
      </c>
    </row>
    <row r="18" spans="1:5" ht="15">
      <c r="A18" s="2" t="s">
        <v>14</v>
      </c>
      <c r="B18" s="116">
        <f>(((Situation!B20+Situation!B21)/2)*Situation!B22*Situation!B25)/Situation!B9</f>
        <v>2.48</v>
      </c>
      <c r="C18" s="117">
        <v>1</v>
      </c>
      <c r="D18" s="116">
        <f>B18*C18</f>
        <v>2.48</v>
      </c>
      <c r="E18" s="116">
        <f>B18-D18</f>
        <v>0</v>
      </c>
    </row>
    <row r="19" spans="1:5" ht="15">
      <c r="A19" s="6" t="s">
        <v>21</v>
      </c>
      <c r="B19" s="116">
        <f>D19+E19</f>
        <v>0</v>
      </c>
      <c r="C19" s="118">
        <f>IF(B19=0,"",D19/B19)</f>
      </c>
      <c r="D19" s="119"/>
      <c r="E19" s="120"/>
    </row>
    <row r="20" spans="1:5" ht="15">
      <c r="A20" s="6" t="s">
        <v>23</v>
      </c>
      <c r="B20" s="116">
        <f>D20+E20</f>
        <v>2</v>
      </c>
      <c r="C20" s="118">
        <f>IF(B20=0,"",D20/B20)</f>
        <v>1</v>
      </c>
      <c r="D20" s="119">
        <v>2</v>
      </c>
      <c r="E20" s="120"/>
    </row>
    <row r="21" spans="1:5" ht="15">
      <c r="A21" s="6" t="s">
        <v>24</v>
      </c>
      <c r="B21" s="116"/>
      <c r="C21" s="118"/>
      <c r="D21" s="121"/>
      <c r="E21" s="121"/>
    </row>
    <row r="22" spans="1:5" ht="15">
      <c r="A22" s="7" t="s">
        <v>97</v>
      </c>
      <c r="B22" s="116">
        <f>D22+E22</f>
        <v>5</v>
      </c>
      <c r="C22" s="118"/>
      <c r="D22" s="119">
        <v>5</v>
      </c>
      <c r="E22" s="122"/>
    </row>
    <row r="23" spans="1:5" ht="15.75" thickBot="1">
      <c r="A23" s="7" t="s">
        <v>98</v>
      </c>
      <c r="B23" s="116">
        <f>D23+E23</f>
        <v>0</v>
      </c>
      <c r="C23" s="118"/>
      <c r="D23" s="123"/>
      <c r="E23" s="124"/>
    </row>
    <row r="24" spans="1:5" ht="16.5" thickTop="1">
      <c r="A24" s="5" t="s">
        <v>25</v>
      </c>
      <c r="B24" s="125">
        <f>$D24+$E24</f>
        <v>94.5675</v>
      </c>
      <c r="C24" s="118"/>
      <c r="D24" s="125">
        <f>SUM(D6:D23)</f>
        <v>75.58</v>
      </c>
      <c r="E24" s="125">
        <f>SUM(E6:E23)</f>
        <v>18.9875</v>
      </c>
    </row>
    <row r="25" spans="1:5" ht="15.75">
      <c r="A25" s="5" t="s">
        <v>26</v>
      </c>
      <c r="B25" s="126">
        <f>B24/$B$24</f>
        <v>1</v>
      </c>
      <c r="C25" s="127"/>
      <c r="D25" s="126">
        <f>D24/$B$24</f>
        <v>0.7992174901525365</v>
      </c>
      <c r="E25" s="126">
        <f>E24/$B$24</f>
        <v>0.20078250984746346</v>
      </c>
    </row>
    <row r="26" spans="1:5" ht="15">
      <c r="A26" s="2"/>
      <c r="B26" s="128" t="s">
        <v>11</v>
      </c>
      <c r="C26" s="127"/>
      <c r="D26" s="128"/>
      <c r="E26" s="127"/>
    </row>
    <row r="27" spans="1:5" ht="15.75">
      <c r="A27" s="5" t="s">
        <v>27</v>
      </c>
      <c r="B27" s="129" t="s">
        <v>1</v>
      </c>
      <c r="C27" s="129" t="s">
        <v>92</v>
      </c>
      <c r="D27" s="129" t="s">
        <v>92</v>
      </c>
      <c r="E27" s="129" t="s">
        <v>93</v>
      </c>
    </row>
    <row r="28" spans="2:5" ht="15.75">
      <c r="B28" s="129" t="s">
        <v>3</v>
      </c>
      <c r="C28" s="129" t="s">
        <v>4</v>
      </c>
      <c r="D28" s="129" t="s">
        <v>5</v>
      </c>
      <c r="E28" s="129" t="s">
        <v>3</v>
      </c>
    </row>
    <row r="29" spans="1:5" ht="15.75">
      <c r="A29" s="2" t="s">
        <v>28</v>
      </c>
      <c r="B29" s="116"/>
      <c r="C29" s="130"/>
      <c r="D29" s="129"/>
      <c r="E29" s="129"/>
    </row>
    <row r="30" spans="1:5" ht="15">
      <c r="A30" s="7" t="s">
        <v>88</v>
      </c>
      <c r="B30" s="42">
        <v>36</v>
      </c>
      <c r="C30" s="131">
        <v>1</v>
      </c>
      <c r="D30" s="116">
        <f>$B30*$C30</f>
        <v>36</v>
      </c>
      <c r="E30" s="116">
        <f>$B30*(1-C30)</f>
        <v>0</v>
      </c>
    </row>
    <row r="31" spans="1:5" ht="15">
      <c r="A31" s="7" t="s">
        <v>89</v>
      </c>
      <c r="B31" s="42">
        <v>8</v>
      </c>
      <c r="C31" s="132">
        <v>0.5</v>
      </c>
      <c r="D31" s="116">
        <f>$B31*$C31</f>
        <v>4</v>
      </c>
      <c r="E31" s="116">
        <f>$B31*(1-C31)</f>
        <v>4</v>
      </c>
    </row>
    <row r="32" spans="1:5" ht="15">
      <c r="A32" s="2" t="s">
        <v>29</v>
      </c>
      <c r="B32" s="42">
        <v>0.3</v>
      </c>
      <c r="C32" s="132">
        <v>0.5</v>
      </c>
      <c r="D32" s="116">
        <f>$B32*$C32</f>
        <v>0.15</v>
      </c>
      <c r="E32" s="116">
        <f>$B32*(1-C32)</f>
        <v>0.15</v>
      </c>
    </row>
    <row r="33" spans="1:5" ht="15">
      <c r="A33" s="7" t="s">
        <v>91</v>
      </c>
      <c r="B33" s="42">
        <v>0</v>
      </c>
      <c r="C33" s="132">
        <v>0</v>
      </c>
      <c r="D33" s="116">
        <f>$B33*$C33</f>
        <v>0</v>
      </c>
      <c r="E33" s="116">
        <f>$B33*(1-C33)</f>
        <v>0</v>
      </c>
    </row>
    <row r="34" spans="1:5" ht="15">
      <c r="A34" s="2" t="s">
        <v>30</v>
      </c>
      <c r="B34" s="48"/>
      <c r="C34" s="133"/>
      <c r="D34" s="127"/>
      <c r="E34" s="127"/>
    </row>
    <row r="35" spans="1:5" ht="15">
      <c r="A35" s="2" t="s">
        <v>31</v>
      </c>
      <c r="B35" s="42">
        <v>18</v>
      </c>
      <c r="C35" s="131">
        <v>1</v>
      </c>
      <c r="D35" s="116">
        <f aca="true" t="shared" si="0" ref="D35:D46">$B35*$C35</f>
        <v>18</v>
      </c>
      <c r="E35" s="116">
        <f aca="true" t="shared" si="1" ref="E35:E46">$B35*(1-C35)</f>
        <v>0</v>
      </c>
    </row>
    <row r="36" spans="1:5" ht="15">
      <c r="A36" s="7" t="s">
        <v>46</v>
      </c>
      <c r="B36" s="42">
        <v>6</v>
      </c>
      <c r="C36" s="131">
        <v>1</v>
      </c>
      <c r="D36" s="116">
        <f t="shared" si="0"/>
        <v>6</v>
      </c>
      <c r="E36" s="116">
        <f t="shared" si="1"/>
        <v>0</v>
      </c>
    </row>
    <row r="37" spans="1:5" ht="15">
      <c r="A37" s="2" t="s">
        <v>32</v>
      </c>
      <c r="B37" s="42">
        <v>2</v>
      </c>
      <c r="C37" s="132">
        <v>1</v>
      </c>
      <c r="D37" s="116">
        <f t="shared" si="0"/>
        <v>2</v>
      </c>
      <c r="E37" s="116">
        <f t="shared" si="1"/>
        <v>0</v>
      </c>
    </row>
    <row r="38" spans="1:5" ht="15">
      <c r="A38" s="2" t="s">
        <v>33</v>
      </c>
      <c r="B38" s="42">
        <v>3</v>
      </c>
      <c r="C38" s="132">
        <v>0.5</v>
      </c>
      <c r="D38" s="116">
        <f t="shared" si="0"/>
        <v>1.5</v>
      </c>
      <c r="E38" s="116">
        <f t="shared" si="1"/>
        <v>1.5</v>
      </c>
    </row>
    <row r="39" spans="1:5" ht="15">
      <c r="A39" s="7" t="s">
        <v>45</v>
      </c>
      <c r="B39" s="42">
        <v>5</v>
      </c>
      <c r="C39" s="132">
        <v>0.5</v>
      </c>
      <c r="D39" s="116">
        <f t="shared" si="0"/>
        <v>2.5</v>
      </c>
      <c r="E39" s="116">
        <f t="shared" si="1"/>
        <v>2.5</v>
      </c>
    </row>
    <row r="40" spans="1:5" ht="15">
      <c r="A40" s="2" t="s">
        <v>34</v>
      </c>
      <c r="B40" s="42">
        <v>0</v>
      </c>
      <c r="C40" s="132">
        <v>0</v>
      </c>
      <c r="D40" s="116">
        <f t="shared" si="0"/>
        <v>0</v>
      </c>
      <c r="E40" s="116">
        <f t="shared" si="1"/>
        <v>0</v>
      </c>
    </row>
    <row r="41" spans="1:5" ht="15">
      <c r="A41" s="2" t="s">
        <v>35</v>
      </c>
      <c r="B41" s="42">
        <v>8</v>
      </c>
      <c r="C41" s="132">
        <v>0</v>
      </c>
      <c r="D41" s="116">
        <f t="shared" si="0"/>
        <v>0</v>
      </c>
      <c r="E41" s="116">
        <f t="shared" si="1"/>
        <v>8</v>
      </c>
    </row>
    <row r="42" spans="1:5" ht="15">
      <c r="A42" s="2" t="s">
        <v>36</v>
      </c>
      <c r="B42" s="42">
        <v>5</v>
      </c>
      <c r="C42" s="132">
        <v>0</v>
      </c>
      <c r="D42" s="116">
        <f t="shared" si="0"/>
        <v>0</v>
      </c>
      <c r="E42" s="116">
        <f t="shared" si="1"/>
        <v>5</v>
      </c>
    </row>
    <row r="43" spans="1:5" ht="15">
      <c r="A43" s="2" t="s">
        <v>37</v>
      </c>
      <c r="B43" s="42">
        <v>15</v>
      </c>
      <c r="C43" s="132">
        <v>1</v>
      </c>
      <c r="D43" s="116">
        <f t="shared" si="0"/>
        <v>15</v>
      </c>
      <c r="E43" s="116">
        <f t="shared" si="1"/>
        <v>0</v>
      </c>
    </row>
    <row r="44" spans="1:5" ht="15">
      <c r="A44" s="2" t="s">
        <v>38</v>
      </c>
      <c r="B44" s="23">
        <v>0</v>
      </c>
      <c r="C44" s="131">
        <v>0</v>
      </c>
      <c r="D44" s="116">
        <f t="shared" si="0"/>
        <v>0</v>
      </c>
      <c r="E44" s="116">
        <f t="shared" si="1"/>
        <v>0</v>
      </c>
    </row>
    <row r="45" spans="1:5" ht="15">
      <c r="A45" s="2" t="s">
        <v>39</v>
      </c>
      <c r="B45" s="26">
        <v>15</v>
      </c>
      <c r="C45" s="117">
        <v>1</v>
      </c>
      <c r="D45" s="116">
        <f t="shared" si="0"/>
        <v>15</v>
      </c>
      <c r="E45" s="116">
        <f t="shared" si="1"/>
        <v>0</v>
      </c>
    </row>
    <row r="46" spans="1:5" ht="15.75" thickBot="1">
      <c r="A46" s="2" t="s">
        <v>40</v>
      </c>
      <c r="B46" s="28">
        <v>0</v>
      </c>
      <c r="C46" s="117">
        <v>0</v>
      </c>
      <c r="D46" s="116">
        <f t="shared" si="0"/>
        <v>0</v>
      </c>
      <c r="E46" s="116">
        <f t="shared" si="1"/>
        <v>0</v>
      </c>
    </row>
    <row r="47" spans="1:5" ht="16.5" thickTop="1">
      <c r="A47" s="5" t="s">
        <v>67</v>
      </c>
      <c r="B47" s="125">
        <f>SUM(B28:B46)</f>
        <v>121.3</v>
      </c>
      <c r="C47" s="127"/>
      <c r="D47" s="125">
        <f>SUM(D28:D46)</f>
        <v>100.15</v>
      </c>
      <c r="E47" s="125">
        <f>SUM(E28:E46)</f>
        <v>21.15</v>
      </c>
    </row>
    <row r="48" spans="1:5" ht="15.75">
      <c r="A48" s="57" t="s">
        <v>66</v>
      </c>
      <c r="B48" s="126">
        <f>B47/B47</f>
        <v>1</v>
      </c>
      <c r="C48" s="126"/>
      <c r="D48" s="126">
        <f>D47/$B$47</f>
        <v>0.8256389117889531</v>
      </c>
      <c r="E48" s="126">
        <f>E47/$B$47</f>
        <v>0.17436108821104698</v>
      </c>
    </row>
    <row r="49" spans="1:5" ht="15">
      <c r="A49" s="2"/>
      <c r="B49" s="116"/>
      <c r="C49" s="127"/>
      <c r="D49" s="116"/>
      <c r="E49" s="116"/>
    </row>
    <row r="50" spans="1:5" ht="15.75">
      <c r="A50" s="5" t="s">
        <v>80</v>
      </c>
      <c r="B50" s="116">
        <f>B$24+B$47</f>
        <v>215.8675</v>
      </c>
      <c r="C50" s="127"/>
      <c r="D50" s="116">
        <f>D$24+D$47</f>
        <v>175.73000000000002</v>
      </c>
      <c r="E50" s="116">
        <f>E$24+E$47</f>
        <v>40.1375</v>
      </c>
    </row>
    <row r="51" spans="1:5" ht="15.75">
      <c r="A51" s="5" t="s">
        <v>81</v>
      </c>
      <c r="B51" s="126">
        <f>B50/$B$50</f>
        <v>1</v>
      </c>
      <c r="C51" s="127"/>
      <c r="D51" s="126">
        <f>D50/$B$50</f>
        <v>0.8140641828899673</v>
      </c>
      <c r="E51" s="126">
        <f>E50/$B$50</f>
        <v>0.1859358171100328</v>
      </c>
    </row>
    <row r="52" spans="1:5" ht="15.75">
      <c r="A52" s="5"/>
      <c r="B52" s="116"/>
      <c r="C52" s="127"/>
      <c r="D52" s="116"/>
      <c r="E52" s="116"/>
    </row>
    <row r="53" spans="1:5" ht="15.75">
      <c r="A53" s="56" t="s">
        <v>57</v>
      </c>
      <c r="B53" s="134">
        <f>Situation!B12*Situation!B13/100</f>
        <v>787.5</v>
      </c>
      <c r="C53" s="135"/>
      <c r="D53" s="136"/>
      <c r="E53" s="137">
        <f>B53</f>
        <v>787.5</v>
      </c>
    </row>
    <row r="54" spans="1:5" ht="15.75">
      <c r="A54" s="5" t="s">
        <v>82</v>
      </c>
      <c r="B54" s="138">
        <f>B50+B53</f>
        <v>1003.3675000000001</v>
      </c>
      <c r="C54" s="139"/>
      <c r="D54" s="138">
        <f>D50+D53</f>
        <v>175.73000000000002</v>
      </c>
      <c r="E54" s="138">
        <f>E50+E53</f>
        <v>827.6375</v>
      </c>
    </row>
    <row r="55" spans="1:5" ht="15.75">
      <c r="A55" s="5" t="s">
        <v>83</v>
      </c>
      <c r="B55" s="140">
        <f>B54/B54</f>
        <v>1</v>
      </c>
      <c r="C55" s="139"/>
      <c r="D55" s="141">
        <f>D54/B54</f>
        <v>0.17514021532489343</v>
      </c>
      <c r="E55" s="141">
        <f>E54/B54</f>
        <v>0.8248597846751066</v>
      </c>
    </row>
    <row r="56" spans="1:5" ht="15.75">
      <c r="A56" s="5"/>
      <c r="B56" s="17"/>
      <c r="C56" s="3"/>
      <c r="D56" s="17"/>
      <c r="E56" s="17"/>
    </row>
    <row r="57" spans="1:5" ht="16.5" thickBot="1">
      <c r="A57" s="5"/>
      <c r="B57" s="17"/>
      <c r="C57" s="3"/>
      <c r="D57" s="17"/>
      <c r="E57" s="17"/>
    </row>
    <row r="58" spans="1:9" ht="15.75">
      <c r="A58" s="64" t="s">
        <v>94</v>
      </c>
      <c r="B58" s="65"/>
      <c r="C58" s="66"/>
      <c r="D58" s="65"/>
      <c r="E58" s="65"/>
      <c r="F58" s="67"/>
      <c r="G58" s="67"/>
      <c r="H58" s="68"/>
      <c r="I58" s="69"/>
    </row>
    <row r="59" spans="1:9" ht="15.75">
      <c r="A59" s="70"/>
      <c r="B59" s="71"/>
      <c r="C59" s="72" t="s">
        <v>79</v>
      </c>
      <c r="D59" s="73"/>
      <c r="E59" s="73"/>
      <c r="F59" s="11"/>
      <c r="G59" s="63" t="s">
        <v>78</v>
      </c>
      <c r="H59" s="74"/>
      <c r="I59" s="75"/>
    </row>
    <row r="60" spans="1:9" ht="15">
      <c r="A60" s="76" t="s">
        <v>86</v>
      </c>
      <c r="B60" s="61"/>
      <c r="C60" s="14">
        <f>Situation!B15*Situation!B16/100*(1-Situation!B18)</f>
        <v>1076.8239999999998</v>
      </c>
      <c r="D60" s="71"/>
      <c r="E60" s="71"/>
      <c r="F60" s="11"/>
      <c r="G60" s="60">
        <f>(Situation!B15*Situation!B16/100)*Situation!B9*(1-Situation!B18)</f>
        <v>53841.2</v>
      </c>
      <c r="H60" s="71"/>
      <c r="I60" s="77"/>
    </row>
    <row r="61" spans="1:9" ht="15">
      <c r="A61" s="78"/>
      <c r="B61" s="61"/>
      <c r="C61" s="61" t="s">
        <v>68</v>
      </c>
      <c r="D61" s="79" t="s">
        <v>92</v>
      </c>
      <c r="E61" s="79" t="s">
        <v>93</v>
      </c>
      <c r="F61" s="11"/>
      <c r="G61" s="61" t="s">
        <v>68</v>
      </c>
      <c r="H61" s="79" t="s">
        <v>92</v>
      </c>
      <c r="I61" s="80" t="s">
        <v>93</v>
      </c>
    </row>
    <row r="62" spans="1:9" ht="15">
      <c r="A62" s="81" t="s">
        <v>60</v>
      </c>
      <c r="B62" s="61"/>
      <c r="C62" s="61"/>
      <c r="D62" s="51">
        <v>0.4</v>
      </c>
      <c r="E62" s="109"/>
      <c r="F62" s="82"/>
      <c r="G62" s="61"/>
      <c r="H62" s="58">
        <f>D62</f>
        <v>0.4</v>
      </c>
      <c r="I62" s="111"/>
    </row>
    <row r="63" spans="1:9" ht="15">
      <c r="A63" s="84" t="s">
        <v>61</v>
      </c>
      <c r="B63" s="61"/>
      <c r="C63" s="62">
        <f>D63+E63</f>
        <v>1076.8239999999998</v>
      </c>
      <c r="D63" s="14">
        <f>Situation!G14*D62</f>
        <v>88</v>
      </c>
      <c r="E63" s="62">
        <f>C60-D63</f>
        <v>988.8239999999998</v>
      </c>
      <c r="F63" s="11"/>
      <c r="G63" s="62">
        <f>H63+I63</f>
        <v>53841.2</v>
      </c>
      <c r="H63" s="14">
        <f>Situation!G14*D62*Situation!B9</f>
        <v>4400</v>
      </c>
      <c r="I63" s="85">
        <f>G60-H63</f>
        <v>49441.2</v>
      </c>
    </row>
    <row r="64" spans="1:9" ht="15">
      <c r="A64" s="86"/>
      <c r="B64" s="61"/>
      <c r="C64" s="61"/>
      <c r="D64" s="14"/>
      <c r="E64" s="62"/>
      <c r="F64" s="11"/>
      <c r="G64" s="61"/>
      <c r="H64" s="14"/>
      <c r="I64" s="85"/>
    </row>
    <row r="65" spans="1:9" ht="15.75" thickBot="1">
      <c r="A65" s="87" t="s">
        <v>41</v>
      </c>
      <c r="B65" s="71"/>
      <c r="C65" s="62">
        <f>D65+E65</f>
        <v>121.30000000000001</v>
      </c>
      <c r="D65" s="14">
        <f>D47</f>
        <v>100.15</v>
      </c>
      <c r="E65" s="14">
        <f>E47</f>
        <v>21.15</v>
      </c>
      <c r="F65" s="11"/>
      <c r="G65" s="62">
        <f>H65+I65</f>
        <v>6065</v>
      </c>
      <c r="H65" s="14">
        <f>D47*Situation!B9</f>
        <v>5007.5</v>
      </c>
      <c r="I65" s="88">
        <f>E47*Situation!B9</f>
        <v>1057.5</v>
      </c>
    </row>
    <row r="66" spans="1:9" ht="15">
      <c r="A66" s="87" t="s">
        <v>42</v>
      </c>
      <c r="B66" s="71"/>
      <c r="C66" s="55">
        <f>C63-C65</f>
        <v>955.5239999999999</v>
      </c>
      <c r="D66" s="55">
        <f>D63-D65</f>
        <v>-12.150000000000006</v>
      </c>
      <c r="E66" s="55">
        <f>E63-E65</f>
        <v>967.6739999999999</v>
      </c>
      <c r="F66" s="11"/>
      <c r="G66" s="55">
        <f>G63-G65</f>
        <v>47776.2</v>
      </c>
      <c r="H66" s="55">
        <f>H63-H65</f>
        <v>-607.5</v>
      </c>
      <c r="I66" s="89">
        <f>I63-I65</f>
        <v>48383.7</v>
      </c>
    </row>
    <row r="67" spans="1:9" ht="15">
      <c r="A67" s="87"/>
      <c r="B67" s="71"/>
      <c r="C67" s="61"/>
      <c r="D67" s="14"/>
      <c r="E67" s="14"/>
      <c r="F67" s="11"/>
      <c r="G67" s="61"/>
      <c r="H67" s="14"/>
      <c r="I67" s="88"/>
    </row>
    <row r="68" spans="1:9" ht="15">
      <c r="A68" s="87" t="s">
        <v>25</v>
      </c>
      <c r="B68" s="71"/>
      <c r="C68" s="62">
        <f>D68+E68</f>
        <v>94.5675</v>
      </c>
      <c r="D68" s="14">
        <f>D24</f>
        <v>75.58</v>
      </c>
      <c r="E68" s="14">
        <f>E24</f>
        <v>18.9875</v>
      </c>
      <c r="F68" s="11"/>
      <c r="G68" s="62">
        <f>H68+I68</f>
        <v>4728.375</v>
      </c>
      <c r="H68" s="14">
        <f>D24*Situation!B9</f>
        <v>3779</v>
      </c>
      <c r="I68" s="88">
        <f>E24*Situation!B9</f>
        <v>949.375</v>
      </c>
    </row>
    <row r="69" spans="1:9" ht="15">
      <c r="A69" s="87"/>
      <c r="B69" s="71"/>
      <c r="C69" s="62"/>
      <c r="D69" s="14"/>
      <c r="E69" s="14"/>
      <c r="F69" s="11"/>
      <c r="G69" s="62"/>
      <c r="H69" s="14"/>
      <c r="I69" s="88"/>
    </row>
    <row r="70" spans="1:9" ht="15.75" thickBot="1">
      <c r="A70" s="107" t="s">
        <v>85</v>
      </c>
      <c r="B70" s="71"/>
      <c r="C70" s="62">
        <f>E70</f>
        <v>787.5</v>
      </c>
      <c r="D70" s="14"/>
      <c r="E70" s="14">
        <f>B53</f>
        <v>787.5</v>
      </c>
      <c r="F70" s="11"/>
      <c r="G70" s="62">
        <f>I70</f>
        <v>39375</v>
      </c>
      <c r="H70" s="14"/>
      <c r="I70" s="88">
        <f>E70*Situation!B9</f>
        <v>39375</v>
      </c>
    </row>
    <row r="71" spans="1:9" ht="15.75" thickBot="1">
      <c r="A71" s="90" t="s">
        <v>43</v>
      </c>
      <c r="B71" s="91"/>
      <c r="C71" s="92">
        <f>C66-C68-C70</f>
        <v>73.45649999999989</v>
      </c>
      <c r="D71" s="92">
        <f>D66-D68-D70</f>
        <v>-87.73</v>
      </c>
      <c r="E71" s="92">
        <f>E66-E68-E70</f>
        <v>161.1864999999999</v>
      </c>
      <c r="F71" s="93"/>
      <c r="G71" s="92">
        <f>G66-G68-G70</f>
        <v>3672.824999999997</v>
      </c>
      <c r="H71" s="92">
        <f>H66-H68-H70</f>
        <v>-4386.5</v>
      </c>
      <c r="I71" s="94">
        <f>I66-I68-I70</f>
        <v>8059.324999999997</v>
      </c>
    </row>
    <row r="72" spans="2:9" ht="15.75" thickBot="1">
      <c r="B72" s="21"/>
      <c r="C72" s="21"/>
      <c r="D72" s="21"/>
      <c r="E72" s="21"/>
      <c r="G72" s="11"/>
      <c r="H72" s="21"/>
      <c r="I72" s="21"/>
    </row>
    <row r="73" spans="1:9" ht="15.75">
      <c r="A73" s="95" t="s">
        <v>95</v>
      </c>
      <c r="B73" s="96"/>
      <c r="C73" s="96"/>
      <c r="D73" s="96"/>
      <c r="E73" s="96"/>
      <c r="F73" s="67"/>
      <c r="G73" s="67"/>
      <c r="H73" s="96"/>
      <c r="I73" s="97"/>
    </row>
    <row r="74" spans="1:9" ht="15.75">
      <c r="A74" s="70"/>
      <c r="B74" s="61"/>
      <c r="C74" s="72" t="s">
        <v>79</v>
      </c>
      <c r="D74" s="73"/>
      <c r="E74" s="73"/>
      <c r="F74" s="11"/>
      <c r="G74" s="63" t="s">
        <v>78</v>
      </c>
      <c r="H74" s="74"/>
      <c r="I74" s="75"/>
    </row>
    <row r="75" spans="1:9" ht="15">
      <c r="A75" s="76" t="s">
        <v>86</v>
      </c>
      <c r="B75" s="61"/>
      <c r="C75" s="14">
        <f>Situation!B15*Situation!B16/100*(1-Situation!B18)</f>
        <v>1076.8239999999998</v>
      </c>
      <c r="D75" s="61"/>
      <c r="E75" s="61"/>
      <c r="F75" s="11"/>
      <c r="G75" s="60">
        <f>(Situation!B15*Situation!B16/100)*Situation!B9*(1-Situation!B18)</f>
        <v>53841.2</v>
      </c>
      <c r="H75" s="61"/>
      <c r="I75" s="83"/>
    </row>
    <row r="76" spans="1:9" ht="15">
      <c r="A76" s="98"/>
      <c r="B76" s="61"/>
      <c r="C76" s="61" t="s">
        <v>68</v>
      </c>
      <c r="D76" s="79" t="s">
        <v>92</v>
      </c>
      <c r="E76" s="79" t="s">
        <v>93</v>
      </c>
      <c r="F76" s="11"/>
      <c r="G76" s="61" t="s">
        <v>68</v>
      </c>
      <c r="H76" s="79" t="s">
        <v>92</v>
      </c>
      <c r="I76" s="80" t="s">
        <v>93</v>
      </c>
    </row>
    <row r="77" spans="1:9" ht="15">
      <c r="A77" s="98" t="s">
        <v>59</v>
      </c>
      <c r="B77" s="61"/>
      <c r="C77" s="61"/>
      <c r="D77" s="25">
        <v>0.2</v>
      </c>
      <c r="E77" s="99">
        <f>1-D77</f>
        <v>0.8</v>
      </c>
      <c r="F77" s="11"/>
      <c r="G77" s="61"/>
      <c r="H77" s="59">
        <f>D77</f>
        <v>0.2</v>
      </c>
      <c r="I77" s="100">
        <f>1-H77</f>
        <v>0.8</v>
      </c>
    </row>
    <row r="78" spans="1:9" ht="15">
      <c r="A78" s="84" t="s">
        <v>61</v>
      </c>
      <c r="B78" s="61"/>
      <c r="C78" s="62">
        <f>D78+E78</f>
        <v>1076.8239999999998</v>
      </c>
      <c r="D78" s="62">
        <f>C75*D77</f>
        <v>215.36479999999997</v>
      </c>
      <c r="E78" s="14">
        <f>C75-D78</f>
        <v>861.4591999999999</v>
      </c>
      <c r="F78" s="11"/>
      <c r="G78" s="62">
        <f>H78+I78</f>
        <v>53841.2</v>
      </c>
      <c r="H78" s="62">
        <f>G75*H77</f>
        <v>10768.24</v>
      </c>
      <c r="I78" s="88">
        <f>G75-H78</f>
        <v>43072.96</v>
      </c>
    </row>
    <row r="79" spans="1:9" ht="15">
      <c r="A79" s="98"/>
      <c r="B79" s="61"/>
      <c r="C79" s="61"/>
      <c r="D79" s="62"/>
      <c r="E79" s="71"/>
      <c r="F79" s="11"/>
      <c r="G79" s="61"/>
      <c r="H79" s="62"/>
      <c r="I79" s="77"/>
    </row>
    <row r="80" spans="1:9" ht="15.75" thickBot="1">
      <c r="A80" s="87" t="s">
        <v>41</v>
      </c>
      <c r="B80" s="61"/>
      <c r="C80" s="62">
        <f>D80+E80</f>
        <v>121.30000000000001</v>
      </c>
      <c r="D80" s="14">
        <f>D47</f>
        <v>100.15</v>
      </c>
      <c r="E80" s="62">
        <f>E47</f>
        <v>21.15</v>
      </c>
      <c r="F80" s="11"/>
      <c r="G80" s="62">
        <f>H80+I80</f>
        <v>6065</v>
      </c>
      <c r="H80" s="14">
        <f>D47*Situation!B9</f>
        <v>5007.5</v>
      </c>
      <c r="I80" s="85">
        <f>E47*Situation!B9</f>
        <v>1057.5</v>
      </c>
    </row>
    <row r="81" spans="1:9" ht="15">
      <c r="A81" s="87" t="s">
        <v>42</v>
      </c>
      <c r="B81" s="61"/>
      <c r="C81" s="55">
        <f>C78-C80-C86</f>
        <v>168.0239999999999</v>
      </c>
      <c r="D81" s="55">
        <f>D78-D80-D86</f>
        <v>115.21479999999997</v>
      </c>
      <c r="E81" s="55">
        <f>E78-E80-E86</f>
        <v>52.80919999999992</v>
      </c>
      <c r="F81" s="11"/>
      <c r="G81" s="55">
        <f>G78-G80</f>
        <v>47776.2</v>
      </c>
      <c r="H81" s="55">
        <f>H78-H80</f>
        <v>5760.74</v>
      </c>
      <c r="I81" s="89">
        <f>I78-I80</f>
        <v>42015.46</v>
      </c>
    </row>
    <row r="82" spans="1:9" ht="15">
      <c r="A82" s="87"/>
      <c r="B82" s="61"/>
      <c r="C82" s="61"/>
      <c r="D82" s="14"/>
      <c r="E82" s="61"/>
      <c r="F82" s="11"/>
      <c r="G82" s="61"/>
      <c r="H82" s="14"/>
      <c r="I82" s="83"/>
    </row>
    <row r="83" spans="1:9" ht="15">
      <c r="A83" s="87" t="s">
        <v>25</v>
      </c>
      <c r="B83" s="61"/>
      <c r="C83" s="62">
        <f>D83+E83</f>
        <v>94.5675</v>
      </c>
      <c r="D83" s="14">
        <f>D24</f>
        <v>75.58</v>
      </c>
      <c r="E83" s="14">
        <f>E24</f>
        <v>18.9875</v>
      </c>
      <c r="F83" s="11"/>
      <c r="G83" s="62">
        <f>H83+I83</f>
        <v>4728.375</v>
      </c>
      <c r="H83" s="14">
        <f>D24*Situation!$B$9</f>
        <v>3779</v>
      </c>
      <c r="I83" s="88">
        <f>E24*Situation!$B$9</f>
        <v>949.375</v>
      </c>
    </row>
    <row r="84" spans="1:9" ht="15">
      <c r="A84" s="87"/>
      <c r="B84" s="61"/>
      <c r="C84" s="62"/>
      <c r="D84" s="14"/>
      <c r="E84" s="14"/>
      <c r="F84" s="11"/>
      <c r="G84" s="62"/>
      <c r="H84" s="14"/>
      <c r="I84" s="88"/>
    </row>
    <row r="85" spans="1:9" ht="15">
      <c r="A85" s="98" t="s">
        <v>87</v>
      </c>
      <c r="B85" s="61"/>
      <c r="C85" s="61"/>
      <c r="D85" s="104">
        <v>0</v>
      </c>
      <c r="E85" s="105">
        <f>1-D85</f>
        <v>1</v>
      </c>
      <c r="F85" s="11"/>
      <c r="G85" s="61"/>
      <c r="H85" s="106">
        <f>D85</f>
        <v>0</v>
      </c>
      <c r="I85" s="108">
        <f>1-H85</f>
        <v>1</v>
      </c>
    </row>
    <row r="86" spans="1:9" ht="15.75" thickBot="1">
      <c r="A86" s="107" t="s">
        <v>85</v>
      </c>
      <c r="B86" s="61"/>
      <c r="C86" s="62">
        <f>B53</f>
        <v>787.5</v>
      </c>
      <c r="D86" s="62">
        <f>D85*C86</f>
        <v>0</v>
      </c>
      <c r="E86" s="14">
        <f>E85*C86</f>
        <v>787.5</v>
      </c>
      <c r="F86" s="11"/>
      <c r="G86" s="62">
        <f>Situation!B9*B53</f>
        <v>39375</v>
      </c>
      <c r="H86" s="62">
        <f>H85*G86</f>
        <v>0</v>
      </c>
      <c r="I86" s="88">
        <f>I85*G86</f>
        <v>39375</v>
      </c>
    </row>
    <row r="87" spans="1:9" ht="15.75" thickBot="1">
      <c r="A87" s="90" t="s">
        <v>43</v>
      </c>
      <c r="B87" s="101"/>
      <c r="C87" s="92">
        <f>C81-C83</f>
        <v>73.45649999999989</v>
      </c>
      <c r="D87" s="92">
        <f>D81-D83</f>
        <v>39.63479999999997</v>
      </c>
      <c r="E87" s="92">
        <f>E81-E83</f>
        <v>33.82169999999992</v>
      </c>
      <c r="F87" s="102"/>
      <c r="G87" s="92">
        <f>G81-G83-G86</f>
        <v>3672.824999999997</v>
      </c>
      <c r="H87" s="92">
        <f>H81-H83-H86</f>
        <v>1981.7399999999998</v>
      </c>
      <c r="I87" s="94">
        <f>I81-I83-I86</f>
        <v>1691.0849999999991</v>
      </c>
    </row>
    <row r="88" spans="2:9" ht="15.75" thickBot="1">
      <c r="B88" s="21"/>
      <c r="C88" s="21"/>
      <c r="D88" s="21"/>
      <c r="E88" s="21"/>
      <c r="G88" s="11"/>
      <c r="H88" s="21"/>
      <c r="I88" s="21"/>
    </row>
    <row r="89" spans="1:9" ht="15.75">
      <c r="A89" s="95" t="s">
        <v>96</v>
      </c>
      <c r="B89" s="96"/>
      <c r="C89" s="96"/>
      <c r="D89" s="96"/>
      <c r="E89" s="96"/>
      <c r="F89" s="67"/>
      <c r="G89" s="67"/>
      <c r="H89" s="96"/>
      <c r="I89" s="97"/>
    </row>
    <row r="90" spans="1:9" ht="15.75">
      <c r="A90" s="70"/>
      <c r="B90" s="61"/>
      <c r="C90" s="72" t="s">
        <v>79</v>
      </c>
      <c r="D90" s="73"/>
      <c r="E90" s="73"/>
      <c r="F90" s="11"/>
      <c r="G90" s="63" t="s">
        <v>78</v>
      </c>
      <c r="H90" s="74"/>
      <c r="I90" s="75"/>
    </row>
    <row r="91" spans="1:9" ht="15">
      <c r="A91" s="76" t="s">
        <v>86</v>
      </c>
      <c r="B91" s="61"/>
      <c r="C91" s="14">
        <f>Situation!B15*Situation!B16/100*(1-Situation!B18)</f>
        <v>1076.8239999999998</v>
      </c>
      <c r="D91" s="61"/>
      <c r="E91" s="61"/>
      <c r="F91" s="11"/>
      <c r="G91" s="14">
        <f>Situation!B15*Situation!B16/100*Situation!B9*(1-Situation!B18)</f>
        <v>53841.2</v>
      </c>
      <c r="H91" s="61"/>
      <c r="I91" s="83"/>
    </row>
    <row r="92" spans="1:9" ht="15.75" thickBot="1">
      <c r="A92" s="107" t="s">
        <v>85</v>
      </c>
      <c r="B92" s="61"/>
      <c r="C92" s="14">
        <f>B53</f>
        <v>787.5</v>
      </c>
      <c r="D92" s="61"/>
      <c r="E92" s="61"/>
      <c r="F92" s="11"/>
      <c r="G92" s="14">
        <f>C92*Situation!B9</f>
        <v>39375</v>
      </c>
      <c r="H92" s="61"/>
      <c r="I92" s="83"/>
    </row>
    <row r="93" spans="1:9" ht="15">
      <c r="A93" s="76" t="s">
        <v>69</v>
      </c>
      <c r="B93" s="14"/>
      <c r="C93" s="55">
        <f>C91-C92</f>
        <v>289.32399999999984</v>
      </c>
      <c r="D93" s="61"/>
      <c r="E93" s="61"/>
      <c r="F93" s="11"/>
      <c r="G93" s="55">
        <f>G91-G92</f>
        <v>14466.199999999997</v>
      </c>
      <c r="H93" s="61"/>
      <c r="I93" s="83"/>
    </row>
    <row r="94" spans="1:9" ht="15">
      <c r="A94" s="98"/>
      <c r="B94" s="61"/>
      <c r="C94" s="61" t="s">
        <v>68</v>
      </c>
      <c r="D94" s="79" t="s">
        <v>92</v>
      </c>
      <c r="E94" s="79" t="s">
        <v>93</v>
      </c>
      <c r="F94" s="11"/>
      <c r="G94" s="61" t="s">
        <v>68</v>
      </c>
      <c r="H94" s="79" t="s">
        <v>92</v>
      </c>
      <c r="I94" s="80" t="s">
        <v>93</v>
      </c>
    </row>
    <row r="95" spans="1:9" ht="15">
      <c r="A95" s="98" t="s">
        <v>70</v>
      </c>
      <c r="B95" s="61"/>
      <c r="C95" s="61"/>
      <c r="D95" s="25">
        <v>0.5</v>
      </c>
      <c r="E95" s="99">
        <f>1-D95</f>
        <v>0.5</v>
      </c>
      <c r="F95" s="11"/>
      <c r="G95" s="61"/>
      <c r="H95" s="59">
        <f>D95</f>
        <v>0.5</v>
      </c>
      <c r="I95" s="100">
        <f>1-H95</f>
        <v>0.5</v>
      </c>
    </row>
    <row r="96" spans="1:9" ht="15">
      <c r="A96" s="84" t="s">
        <v>71</v>
      </c>
      <c r="B96" s="61"/>
      <c r="C96" s="62">
        <f>C93</f>
        <v>289.32399999999984</v>
      </c>
      <c r="D96" s="62">
        <f>D95*C96</f>
        <v>144.66199999999992</v>
      </c>
      <c r="E96" s="14">
        <f>E95*C96</f>
        <v>144.66199999999992</v>
      </c>
      <c r="F96" s="11"/>
      <c r="G96" s="62">
        <f>G93</f>
        <v>14466.199999999997</v>
      </c>
      <c r="H96" s="62">
        <f>H95*G96</f>
        <v>7233.0999999999985</v>
      </c>
      <c r="I96" s="88">
        <f>I95*G96</f>
        <v>7233.0999999999985</v>
      </c>
    </row>
    <row r="97" spans="1:9" ht="15">
      <c r="A97" s="98"/>
      <c r="B97" s="61"/>
      <c r="C97" s="61"/>
      <c r="D97" s="62"/>
      <c r="E97" s="71"/>
      <c r="F97" s="11"/>
      <c r="G97" s="61"/>
      <c r="H97" s="62"/>
      <c r="I97" s="77"/>
    </row>
    <row r="98" spans="1:9" ht="15.75" thickBot="1">
      <c r="A98" s="87" t="s">
        <v>41</v>
      </c>
      <c r="B98" s="61"/>
      <c r="C98" s="62">
        <f>D98+E98</f>
        <v>121.30000000000001</v>
      </c>
      <c r="D98" s="14">
        <f>D47</f>
        <v>100.15</v>
      </c>
      <c r="E98" s="62">
        <f>E47</f>
        <v>21.15</v>
      </c>
      <c r="F98" s="11"/>
      <c r="G98" s="62">
        <f>H98+I98</f>
        <v>6065</v>
      </c>
      <c r="H98" s="14">
        <f>D47*Situation!B9</f>
        <v>5007.5</v>
      </c>
      <c r="I98" s="85">
        <f>E47*Situation!B9</f>
        <v>1057.5</v>
      </c>
    </row>
    <row r="99" spans="1:9" ht="15">
      <c r="A99" s="87" t="s">
        <v>42</v>
      </c>
      <c r="B99" s="61"/>
      <c r="C99" s="55">
        <f>C96-C98</f>
        <v>168.02399999999983</v>
      </c>
      <c r="D99" s="55">
        <f>D96-D98</f>
        <v>44.511999999999915</v>
      </c>
      <c r="E99" s="55">
        <f>E96-E98</f>
        <v>123.51199999999992</v>
      </c>
      <c r="F99" s="11"/>
      <c r="G99" s="55">
        <f>G96-G98</f>
        <v>8401.199999999997</v>
      </c>
      <c r="H99" s="49">
        <f>H96-H98</f>
        <v>2225.5999999999985</v>
      </c>
      <c r="I99" s="89">
        <f>I96-I98</f>
        <v>6175.5999999999985</v>
      </c>
    </row>
    <row r="100" spans="1:9" ht="15">
      <c r="A100" s="87"/>
      <c r="B100" s="61"/>
      <c r="C100" s="61"/>
      <c r="D100" s="14"/>
      <c r="E100" s="61"/>
      <c r="F100" s="11"/>
      <c r="G100" s="61"/>
      <c r="H100" s="14"/>
      <c r="I100" s="83"/>
    </row>
    <row r="101" spans="1:9" ht="15.75" thickBot="1">
      <c r="A101" s="87" t="s">
        <v>25</v>
      </c>
      <c r="B101" s="61"/>
      <c r="C101" s="62">
        <f>D101+E101</f>
        <v>94.5675</v>
      </c>
      <c r="D101" s="14">
        <f>D24</f>
        <v>75.58</v>
      </c>
      <c r="E101" s="14">
        <f>E24</f>
        <v>18.9875</v>
      </c>
      <c r="F101" s="11"/>
      <c r="G101" s="62">
        <f>H101+I101</f>
        <v>4728.375</v>
      </c>
      <c r="H101" s="14">
        <f>D24*Situation!B9</f>
        <v>3779</v>
      </c>
      <c r="I101" s="88">
        <f>E24*Situation!B9</f>
        <v>949.375</v>
      </c>
    </row>
    <row r="102" spans="1:9" ht="15.75" thickBot="1">
      <c r="A102" s="90" t="s">
        <v>43</v>
      </c>
      <c r="B102" s="101"/>
      <c r="C102" s="92">
        <f>C99-C101</f>
        <v>73.45649999999983</v>
      </c>
      <c r="D102" s="92">
        <f>D99-D101</f>
        <v>-31.068000000000083</v>
      </c>
      <c r="E102" s="92">
        <f>E99-E101</f>
        <v>104.52449999999992</v>
      </c>
      <c r="F102" s="102"/>
      <c r="G102" s="92">
        <f>G99-G101</f>
        <v>3672.824999999997</v>
      </c>
      <c r="H102" s="103">
        <f>H99-H101</f>
        <v>-1553.4000000000015</v>
      </c>
      <c r="I102" s="94">
        <f>I99-I101</f>
        <v>5226.2249999999985</v>
      </c>
    </row>
  </sheetData>
  <sheetProtection/>
  <printOptions/>
  <pageMargins left="0.5" right="0.5" top="0.5" bottom="0.5" header="0.5" footer="0.5"/>
  <pageSetup fitToHeight="2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02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2.6640625" defaultRowHeight="15"/>
  <cols>
    <col min="1" max="1" width="30.77734375" style="0" customWidth="1"/>
    <col min="2" max="5" width="12.6640625" style="0" customWidth="1"/>
    <col min="6" max="6" width="5.3359375" style="0" customWidth="1"/>
  </cols>
  <sheetData>
    <row r="1" spans="1:5" ht="18.75">
      <c r="A1" s="1" t="s">
        <v>55</v>
      </c>
      <c r="B1" s="3"/>
      <c r="C1" s="3"/>
      <c r="D1" s="3"/>
      <c r="E1" s="3"/>
    </row>
    <row r="2" spans="1:5" ht="15.75">
      <c r="A2" s="4" t="s">
        <v>53</v>
      </c>
      <c r="B2" s="3"/>
      <c r="C2" s="3"/>
      <c r="D2" s="3"/>
      <c r="E2" s="3"/>
    </row>
    <row r="3" spans="1:5" ht="15.75">
      <c r="A3" s="2"/>
      <c r="B3" s="4" t="s">
        <v>1</v>
      </c>
      <c r="C3" s="4" t="s">
        <v>92</v>
      </c>
      <c r="D3" s="4" t="s">
        <v>92</v>
      </c>
      <c r="E3" s="4" t="s">
        <v>93</v>
      </c>
    </row>
    <row r="4" spans="1:5" ht="15.75">
      <c r="A4" s="5" t="s">
        <v>2</v>
      </c>
      <c r="B4" s="4" t="s">
        <v>3</v>
      </c>
      <c r="C4" s="4" t="s">
        <v>4</v>
      </c>
      <c r="D4" s="4" t="s">
        <v>5</v>
      </c>
      <c r="E4" s="4" t="s">
        <v>3</v>
      </c>
    </row>
    <row r="5" spans="1:5" ht="15">
      <c r="A5" s="6" t="s">
        <v>7</v>
      </c>
      <c r="B5" s="3"/>
      <c r="C5" s="3"/>
      <c r="D5" s="3"/>
      <c r="E5" s="3"/>
    </row>
    <row r="6" spans="1:5" ht="15">
      <c r="A6" s="2" t="s">
        <v>8</v>
      </c>
      <c r="B6" s="13">
        <f>((Situation!B4*Situation!B5)/Situation!B9)*Situation!B7*Situation!B8</f>
        <v>37.5</v>
      </c>
      <c r="C6" s="25">
        <v>0</v>
      </c>
      <c r="D6" s="13">
        <f>B6*C6</f>
        <v>0</v>
      </c>
      <c r="E6" s="13">
        <f>B6-D6</f>
        <v>37.5</v>
      </c>
    </row>
    <row r="7" spans="1:5" ht="15">
      <c r="A7" s="2" t="s">
        <v>9</v>
      </c>
      <c r="B7" s="53">
        <f>Situation!B4*Situation!B5*Situation!B6/Situation!B9*Situation!B8</f>
        <v>7.5</v>
      </c>
      <c r="C7" s="46">
        <v>0</v>
      </c>
      <c r="D7" s="13">
        <f>B7*C7</f>
        <v>0</v>
      </c>
      <c r="E7" s="13">
        <f>B7-D7</f>
        <v>7.5</v>
      </c>
    </row>
    <row r="8" spans="1:5" ht="15">
      <c r="A8" s="2" t="s">
        <v>10</v>
      </c>
      <c r="B8" s="52">
        <v>0</v>
      </c>
      <c r="C8" s="25">
        <v>0</v>
      </c>
      <c r="D8" s="13">
        <f>B8*C8</f>
        <v>0</v>
      </c>
      <c r="E8" s="13">
        <f>B8-D8</f>
        <v>0</v>
      </c>
    </row>
    <row r="9" spans="1:5" ht="15">
      <c r="A9" s="2"/>
      <c r="B9" s="14"/>
      <c r="C9" s="40"/>
      <c r="D9" s="13"/>
      <c r="E9" s="13"/>
    </row>
    <row r="10" spans="1:5" ht="15">
      <c r="A10" s="6" t="s">
        <v>44</v>
      </c>
      <c r="B10" s="13" t="s">
        <v>11</v>
      </c>
      <c r="C10" s="41"/>
      <c r="D10" s="13"/>
      <c r="E10" s="3"/>
    </row>
    <row r="11" spans="1:5" ht="15">
      <c r="A11" s="2" t="s">
        <v>12</v>
      </c>
      <c r="B11" s="13">
        <f>((Situation!$B$12*Situation!$B$13/100)*(Situation!G13/30))*Situation!$B$14/12</f>
        <v>4.8125</v>
      </c>
      <c r="C11" s="25">
        <v>0</v>
      </c>
      <c r="D11" s="13">
        <f>B11*C11</f>
        <v>0</v>
      </c>
      <c r="E11" s="13">
        <f>B11-D11</f>
        <v>4.8125</v>
      </c>
    </row>
    <row r="12" spans="1:5" ht="15">
      <c r="A12" s="2" t="s">
        <v>14</v>
      </c>
      <c r="B12" s="13">
        <f>((Situation!$B$12*Situation!$B$13/100)/2)*Situation!$B$17</f>
        <v>6.3</v>
      </c>
      <c r="C12" s="25">
        <v>0</v>
      </c>
      <c r="D12" s="13">
        <f>B12*C12</f>
        <v>0</v>
      </c>
      <c r="E12" s="13">
        <f>B12-D12</f>
        <v>6.3</v>
      </c>
    </row>
    <row r="13" spans="1:5" ht="15">
      <c r="A13" s="2" t="s">
        <v>15</v>
      </c>
      <c r="B13" s="13">
        <f>Situation!$B$18*(Situation!$B$12*Situation!$B$13/100)/2</f>
        <v>7.875</v>
      </c>
      <c r="C13" s="25">
        <v>0</v>
      </c>
      <c r="D13" s="13">
        <f>B13*C13</f>
        <v>0</v>
      </c>
      <c r="E13" s="13">
        <f>B13-D13</f>
        <v>7.875</v>
      </c>
    </row>
    <row r="14" spans="1:5" ht="15">
      <c r="A14" s="2"/>
      <c r="B14" s="13"/>
      <c r="C14" s="41"/>
      <c r="D14" s="13"/>
      <c r="E14" s="13"/>
    </row>
    <row r="15" spans="1:5" ht="15">
      <c r="A15" s="6" t="s">
        <v>17</v>
      </c>
      <c r="B15" s="13" t="s">
        <v>11</v>
      </c>
      <c r="C15" s="41"/>
      <c r="D15" s="13"/>
      <c r="E15" s="13"/>
    </row>
    <row r="16" spans="1:5" ht="15">
      <c r="A16" s="2" t="s">
        <v>12</v>
      </c>
      <c r="B16" s="13">
        <f>(((Situation!B20+Situation!B21)/2)*Situation!B22*Situation!B23)/Situation!B9</f>
        <v>3.1</v>
      </c>
      <c r="C16" s="25">
        <v>0</v>
      </c>
      <c r="D16" s="13">
        <f>B16*C16</f>
        <v>0</v>
      </c>
      <c r="E16" s="13">
        <f>B16-D16</f>
        <v>3.1</v>
      </c>
    </row>
    <row r="17" spans="1:5" ht="15">
      <c r="A17" s="2" t="s">
        <v>13</v>
      </c>
      <c r="B17" s="13">
        <f>(((Situation!B20-Situation!B21)/Situation!B24)/Situation!B9)*Situation!B22</f>
        <v>18</v>
      </c>
      <c r="C17" s="25">
        <v>0</v>
      </c>
      <c r="D17" s="13">
        <f>B17*C17</f>
        <v>0</v>
      </c>
      <c r="E17" s="13">
        <f>B17-D17</f>
        <v>18</v>
      </c>
    </row>
    <row r="18" spans="1:5" ht="15">
      <c r="A18" s="2" t="s">
        <v>14</v>
      </c>
      <c r="B18" s="13">
        <f>(((Situation!B20+Situation!B21)/2)*Situation!B22*Situation!B25)/Situation!B9</f>
        <v>2.48</v>
      </c>
      <c r="C18" s="25">
        <v>0</v>
      </c>
      <c r="D18" s="13">
        <f>B18*C18</f>
        <v>0</v>
      </c>
      <c r="E18" s="13">
        <f>B18-D18</f>
        <v>2.48</v>
      </c>
    </row>
    <row r="19" spans="1:5" ht="15">
      <c r="A19" s="6" t="s">
        <v>21</v>
      </c>
      <c r="B19" s="13">
        <f>D19+E19</f>
        <v>0</v>
      </c>
      <c r="C19" s="15">
        <f>IF(B19=0,"",D19/B19)</f>
      </c>
      <c r="D19" s="42"/>
      <c r="E19" s="43"/>
    </row>
    <row r="20" spans="1:5" ht="15">
      <c r="A20" s="6" t="s">
        <v>23</v>
      </c>
      <c r="B20" s="13">
        <f>D20+E20</f>
        <v>2</v>
      </c>
      <c r="C20" s="15">
        <f>IF(B20=0,"",D20/B20)</f>
        <v>0</v>
      </c>
      <c r="D20" s="42"/>
      <c r="E20" s="43">
        <v>2</v>
      </c>
    </row>
    <row r="21" spans="1:5" ht="15">
      <c r="A21" s="6" t="s">
        <v>24</v>
      </c>
      <c r="B21" s="13"/>
      <c r="C21" s="15"/>
      <c r="D21" s="44"/>
      <c r="E21" s="44"/>
    </row>
    <row r="22" spans="1:5" ht="15">
      <c r="A22" s="7" t="s">
        <v>97</v>
      </c>
      <c r="B22" s="13">
        <f>D22+E22</f>
        <v>0</v>
      </c>
      <c r="C22" s="15"/>
      <c r="D22" s="42"/>
      <c r="E22" s="52"/>
    </row>
    <row r="23" spans="1:5" ht="15.75" thickBot="1">
      <c r="A23" s="7" t="s">
        <v>98</v>
      </c>
      <c r="B23" s="13">
        <f>D23+E23</f>
        <v>2</v>
      </c>
      <c r="C23" s="15"/>
      <c r="D23" s="115"/>
      <c r="E23" s="28">
        <v>2</v>
      </c>
    </row>
    <row r="24" spans="1:5" ht="16.5" thickTop="1">
      <c r="A24" s="5" t="s">
        <v>25</v>
      </c>
      <c r="B24" s="50">
        <f>$D24+$E24</f>
        <v>91.5675</v>
      </c>
      <c r="C24" s="15"/>
      <c r="D24" s="50">
        <f>SUM(D6:D23)</f>
        <v>0</v>
      </c>
      <c r="E24" s="50">
        <f>SUM(E6:E23)</f>
        <v>91.5675</v>
      </c>
    </row>
    <row r="25" spans="1:5" ht="15.75">
      <c r="A25" s="5" t="s">
        <v>26</v>
      </c>
      <c r="B25" s="17">
        <f>B24/$B$24</f>
        <v>1</v>
      </c>
      <c r="C25" s="3"/>
      <c r="D25" s="17">
        <f>D24/$B$24</f>
        <v>0</v>
      </c>
      <c r="E25" s="17">
        <f>E24/$B$24</f>
        <v>1</v>
      </c>
    </row>
    <row r="26" spans="1:5" ht="15">
      <c r="A26" s="2"/>
      <c r="B26" s="16" t="s">
        <v>11</v>
      </c>
      <c r="C26" s="3"/>
      <c r="D26" s="16"/>
      <c r="E26" s="3"/>
    </row>
    <row r="27" spans="1:5" ht="15.75">
      <c r="A27" s="5" t="s">
        <v>27</v>
      </c>
      <c r="B27" s="4" t="s">
        <v>1</v>
      </c>
      <c r="C27" s="4" t="s">
        <v>92</v>
      </c>
      <c r="D27" s="4" t="s">
        <v>92</v>
      </c>
      <c r="E27" s="4" t="s">
        <v>93</v>
      </c>
    </row>
    <row r="28" spans="2:5" ht="15.75">
      <c r="B28" s="4" t="s">
        <v>3</v>
      </c>
      <c r="C28" s="4" t="s">
        <v>4</v>
      </c>
      <c r="D28" s="4" t="s">
        <v>5</v>
      </c>
      <c r="E28" s="4" t="s">
        <v>3</v>
      </c>
    </row>
    <row r="29" spans="1:5" ht="15.75">
      <c r="A29" s="2" t="s">
        <v>28</v>
      </c>
      <c r="B29" s="13"/>
      <c r="C29" s="45"/>
      <c r="D29" s="4"/>
      <c r="E29" s="4"/>
    </row>
    <row r="30" spans="1:5" ht="15">
      <c r="A30" s="7" t="s">
        <v>88</v>
      </c>
      <c r="B30" s="42">
        <v>36</v>
      </c>
      <c r="C30" s="46">
        <v>0.5</v>
      </c>
      <c r="D30" s="13">
        <f>$B30*$C30</f>
        <v>18</v>
      </c>
      <c r="E30" s="13">
        <f>$B30*(1-C30)</f>
        <v>18</v>
      </c>
    </row>
    <row r="31" spans="1:5" ht="15">
      <c r="A31" s="7" t="s">
        <v>89</v>
      </c>
      <c r="B31" s="42">
        <v>8</v>
      </c>
      <c r="C31" s="46">
        <v>0.5</v>
      </c>
      <c r="D31" s="13">
        <f>$B31*$C31</f>
        <v>4</v>
      </c>
      <c r="E31" s="13">
        <f>$B31*(1-C31)</f>
        <v>4</v>
      </c>
    </row>
    <row r="32" spans="1:5" ht="15">
      <c r="A32" s="2" t="s">
        <v>29</v>
      </c>
      <c r="B32" s="42">
        <v>0.3</v>
      </c>
      <c r="C32" s="46">
        <v>0.5</v>
      </c>
      <c r="D32" s="13">
        <f>$B32*$C32</f>
        <v>0.15</v>
      </c>
      <c r="E32" s="13">
        <f>$B32*(1-C32)</f>
        <v>0.15</v>
      </c>
    </row>
    <row r="33" spans="1:5" ht="15">
      <c r="A33" s="7" t="s">
        <v>91</v>
      </c>
      <c r="B33" s="42">
        <v>0</v>
      </c>
      <c r="C33" s="46">
        <v>0.5</v>
      </c>
      <c r="D33" s="13">
        <f>$B33*$C33</f>
        <v>0</v>
      </c>
      <c r="E33" s="13">
        <f>$B33*(1-C33)</f>
        <v>0</v>
      </c>
    </row>
    <row r="34" spans="1:5" ht="15">
      <c r="A34" s="2" t="s">
        <v>30</v>
      </c>
      <c r="B34" s="48"/>
      <c r="C34" s="48"/>
      <c r="D34" s="3"/>
      <c r="E34" s="3"/>
    </row>
    <row r="35" spans="1:5" ht="15">
      <c r="A35" s="2" t="s">
        <v>31</v>
      </c>
      <c r="B35" s="42">
        <v>18</v>
      </c>
      <c r="C35" s="46">
        <v>0</v>
      </c>
      <c r="D35" s="13">
        <f aca="true" t="shared" si="0" ref="D35:D46">$B35*$C35</f>
        <v>0</v>
      </c>
      <c r="E35" s="13">
        <f aca="true" t="shared" si="1" ref="E35:E46">$B35*(1-C35)</f>
        <v>18</v>
      </c>
    </row>
    <row r="36" spans="1:5" ht="15">
      <c r="A36" s="7" t="s">
        <v>46</v>
      </c>
      <c r="B36" s="42">
        <v>6</v>
      </c>
      <c r="C36" s="46">
        <v>0</v>
      </c>
      <c r="D36" s="13">
        <f t="shared" si="0"/>
        <v>0</v>
      </c>
      <c r="E36" s="13">
        <f t="shared" si="1"/>
        <v>6</v>
      </c>
    </row>
    <row r="37" spans="1:5" ht="15">
      <c r="A37" s="2" t="s">
        <v>32</v>
      </c>
      <c r="B37" s="42">
        <v>2</v>
      </c>
      <c r="C37" s="47">
        <v>0.5</v>
      </c>
      <c r="D37" s="13">
        <f t="shared" si="0"/>
        <v>1</v>
      </c>
      <c r="E37" s="13">
        <f t="shared" si="1"/>
        <v>1</v>
      </c>
    </row>
    <row r="38" spans="1:5" ht="15">
      <c r="A38" s="2" t="s">
        <v>33</v>
      </c>
      <c r="B38" s="42">
        <v>3</v>
      </c>
      <c r="C38" s="47">
        <v>0.5</v>
      </c>
      <c r="D38" s="13">
        <f t="shared" si="0"/>
        <v>1.5</v>
      </c>
      <c r="E38" s="13">
        <f t="shared" si="1"/>
        <v>1.5</v>
      </c>
    </row>
    <row r="39" spans="1:5" ht="15">
      <c r="A39" s="7" t="s">
        <v>45</v>
      </c>
      <c r="B39" s="42">
        <v>5</v>
      </c>
      <c r="C39" s="46">
        <v>0.5</v>
      </c>
      <c r="D39" s="13">
        <f t="shared" si="0"/>
        <v>2.5</v>
      </c>
      <c r="E39" s="13">
        <f t="shared" si="1"/>
        <v>2.5</v>
      </c>
    </row>
    <row r="40" spans="1:5" ht="15">
      <c r="A40" s="2" t="s">
        <v>34</v>
      </c>
      <c r="B40" s="42">
        <v>0</v>
      </c>
      <c r="C40" s="46">
        <v>0.5</v>
      </c>
      <c r="D40" s="13">
        <f t="shared" si="0"/>
        <v>0</v>
      </c>
      <c r="E40" s="13">
        <f t="shared" si="1"/>
        <v>0</v>
      </c>
    </row>
    <row r="41" spans="1:5" ht="15">
      <c r="A41" s="2" t="s">
        <v>35</v>
      </c>
      <c r="B41" s="42">
        <v>8</v>
      </c>
      <c r="C41" s="46">
        <v>0.5</v>
      </c>
      <c r="D41" s="13">
        <f t="shared" si="0"/>
        <v>4</v>
      </c>
      <c r="E41" s="13">
        <f t="shared" si="1"/>
        <v>4</v>
      </c>
    </row>
    <row r="42" spans="1:5" ht="15">
      <c r="A42" s="2" t="s">
        <v>36</v>
      </c>
      <c r="B42" s="42">
        <v>5</v>
      </c>
      <c r="C42" s="46">
        <v>0.5</v>
      </c>
      <c r="D42" s="13">
        <f t="shared" si="0"/>
        <v>2.5</v>
      </c>
      <c r="E42" s="13">
        <f t="shared" si="1"/>
        <v>2.5</v>
      </c>
    </row>
    <row r="43" spans="1:5" ht="15">
      <c r="A43" s="2" t="s">
        <v>37</v>
      </c>
      <c r="B43" s="42">
        <v>15</v>
      </c>
      <c r="C43" s="46">
        <v>0.5</v>
      </c>
      <c r="D43" s="13">
        <f t="shared" si="0"/>
        <v>7.5</v>
      </c>
      <c r="E43" s="13">
        <f t="shared" si="1"/>
        <v>7.5</v>
      </c>
    </row>
    <row r="44" spans="1:5" ht="15">
      <c r="A44" s="2" t="s">
        <v>38</v>
      </c>
      <c r="B44" s="23">
        <v>0</v>
      </c>
      <c r="C44" s="46">
        <v>0.5</v>
      </c>
      <c r="D44" s="13">
        <f t="shared" si="0"/>
        <v>0</v>
      </c>
      <c r="E44" s="13">
        <f t="shared" si="1"/>
        <v>0</v>
      </c>
    </row>
    <row r="45" spans="1:5" ht="15">
      <c r="A45" s="2" t="s">
        <v>39</v>
      </c>
      <c r="B45" s="26">
        <v>15</v>
      </c>
      <c r="C45" s="46">
        <v>0.5</v>
      </c>
      <c r="D45" s="13">
        <f t="shared" si="0"/>
        <v>7.5</v>
      </c>
      <c r="E45" s="13">
        <f t="shared" si="1"/>
        <v>7.5</v>
      </c>
    </row>
    <row r="46" spans="1:5" ht="15.75" thickBot="1">
      <c r="A46" s="2" t="s">
        <v>40</v>
      </c>
      <c r="B46" s="28">
        <v>0</v>
      </c>
      <c r="C46" s="46">
        <v>0.5</v>
      </c>
      <c r="D46" s="13">
        <f t="shared" si="0"/>
        <v>0</v>
      </c>
      <c r="E46" s="13">
        <f t="shared" si="1"/>
        <v>0</v>
      </c>
    </row>
    <row r="47" spans="1:5" ht="16.5" thickTop="1">
      <c r="A47" s="5" t="s">
        <v>67</v>
      </c>
      <c r="B47" s="50">
        <f>SUM(B28:B46)</f>
        <v>121.3</v>
      </c>
      <c r="C47" s="3"/>
      <c r="D47" s="50">
        <f>SUM(D28:D46)</f>
        <v>48.65</v>
      </c>
      <c r="E47" s="50">
        <f>SUM(E28:E46)</f>
        <v>72.65</v>
      </c>
    </row>
    <row r="48" spans="1:5" ht="15.75">
      <c r="A48" s="57" t="s">
        <v>66</v>
      </c>
      <c r="B48" s="17">
        <f>B47/B47</f>
        <v>1</v>
      </c>
      <c r="C48" s="17"/>
      <c r="D48" s="17">
        <f>D47/$B$47</f>
        <v>0.4010717230008244</v>
      </c>
      <c r="E48" s="17">
        <f>E47/$B$47</f>
        <v>0.5989282769991756</v>
      </c>
    </row>
    <row r="49" spans="1:5" ht="15">
      <c r="A49" s="2"/>
      <c r="B49" s="13"/>
      <c r="C49" s="3"/>
      <c r="D49" s="13"/>
      <c r="E49" s="13"/>
    </row>
    <row r="50" spans="1:5" ht="15.75">
      <c r="A50" s="5" t="s">
        <v>80</v>
      </c>
      <c r="B50" s="13">
        <f>B$24+B$47</f>
        <v>212.8675</v>
      </c>
      <c r="C50" s="3"/>
      <c r="D50" s="13">
        <f>D$24+D$47</f>
        <v>48.65</v>
      </c>
      <c r="E50" s="13">
        <f>E$24+E$47</f>
        <v>164.2175</v>
      </c>
    </row>
    <row r="51" spans="1:5" ht="15.75">
      <c r="A51" s="5" t="s">
        <v>81</v>
      </c>
      <c r="B51" s="17">
        <f>B50/$B$50</f>
        <v>1</v>
      </c>
      <c r="C51" s="3"/>
      <c r="D51" s="17">
        <f>D50/$B$50</f>
        <v>0.22854592645659857</v>
      </c>
      <c r="E51" s="17">
        <f>E50/$B$50</f>
        <v>0.7714540735434013</v>
      </c>
    </row>
    <row r="52" spans="1:5" ht="15.75">
      <c r="A52" s="5"/>
      <c r="B52" s="13"/>
      <c r="C52" s="3"/>
      <c r="D52" s="13"/>
      <c r="E52" s="13"/>
    </row>
    <row r="53" spans="1:5" ht="15.75">
      <c r="A53" s="56" t="s">
        <v>57</v>
      </c>
      <c r="B53" s="18">
        <f>Situation!B12*Situation!B13/100</f>
        <v>787.5</v>
      </c>
      <c r="C53" s="40"/>
      <c r="D53" s="19"/>
      <c r="E53" s="20">
        <f>B53</f>
        <v>787.5</v>
      </c>
    </row>
    <row r="54" spans="1:5" ht="15.75">
      <c r="A54" s="5" t="s">
        <v>82</v>
      </c>
      <c r="B54" s="14">
        <f>B50+B53</f>
        <v>1000.3675000000001</v>
      </c>
      <c r="C54" s="71"/>
      <c r="D54" s="14">
        <f>D50+D53</f>
        <v>48.65</v>
      </c>
      <c r="E54" s="14">
        <f>E50+E53</f>
        <v>951.7175</v>
      </c>
    </row>
    <row r="55" spans="1:5" ht="15.75">
      <c r="A55" s="5" t="s">
        <v>83</v>
      </c>
      <c r="B55" s="110">
        <f>B54/B54</f>
        <v>1</v>
      </c>
      <c r="C55" s="71"/>
      <c r="D55" s="110">
        <f>D54/B54</f>
        <v>0.04863212769307279</v>
      </c>
      <c r="E55" s="110">
        <f>E54/B54</f>
        <v>0.9513678723069271</v>
      </c>
    </row>
    <row r="56" spans="1:5" ht="15.75">
      <c r="A56" s="5"/>
      <c r="B56" s="110"/>
      <c r="C56" s="71"/>
      <c r="D56" s="110"/>
      <c r="E56" s="110"/>
    </row>
    <row r="57" spans="1:5" ht="16.5" thickBot="1">
      <c r="A57" s="5"/>
      <c r="B57" s="17"/>
      <c r="C57" s="3"/>
      <c r="D57" s="17"/>
      <c r="E57" s="17"/>
    </row>
    <row r="58" spans="1:9" ht="15.75">
      <c r="A58" s="64" t="s">
        <v>94</v>
      </c>
      <c r="B58" s="65"/>
      <c r="C58" s="66"/>
      <c r="D58" s="65"/>
      <c r="E58" s="65"/>
      <c r="F58" s="67"/>
      <c r="G58" s="67"/>
      <c r="H58" s="68"/>
      <c r="I58" s="69"/>
    </row>
    <row r="59" spans="1:9" ht="15.75">
      <c r="A59" s="70"/>
      <c r="B59" s="71"/>
      <c r="C59" s="72" t="s">
        <v>79</v>
      </c>
      <c r="D59" s="73"/>
      <c r="E59" s="73"/>
      <c r="F59" s="11"/>
      <c r="G59" s="63" t="s">
        <v>78</v>
      </c>
      <c r="H59" s="74"/>
      <c r="I59" s="75"/>
    </row>
    <row r="60" spans="1:9" ht="15">
      <c r="A60" s="76" t="s">
        <v>86</v>
      </c>
      <c r="B60" s="61"/>
      <c r="C60" s="14">
        <f>Situation!B15*Situation!B16/100*(1-Situation!B18)</f>
        <v>1076.8239999999998</v>
      </c>
      <c r="D60" s="71"/>
      <c r="E60" s="71"/>
      <c r="F60" s="11"/>
      <c r="G60" s="60">
        <f>(Situation!B15*Situation!B16/100)*Situation!B9*(1-Situation!B18)</f>
        <v>53841.2</v>
      </c>
      <c r="H60" s="71"/>
      <c r="I60" s="77"/>
    </row>
    <row r="61" spans="1:9" ht="15">
      <c r="A61" s="78"/>
      <c r="B61" s="61"/>
      <c r="C61" s="61" t="s">
        <v>68</v>
      </c>
      <c r="D61" s="79" t="s">
        <v>92</v>
      </c>
      <c r="E61" s="79" t="s">
        <v>93</v>
      </c>
      <c r="F61" s="11"/>
      <c r="G61" s="61" t="s">
        <v>68</v>
      </c>
      <c r="H61" s="79" t="s">
        <v>92</v>
      </c>
      <c r="I61" s="80" t="s">
        <v>93</v>
      </c>
    </row>
    <row r="62" spans="1:9" ht="15">
      <c r="A62" s="81" t="s">
        <v>60</v>
      </c>
      <c r="B62" s="61"/>
      <c r="C62" s="61"/>
      <c r="D62" s="51">
        <v>0.4</v>
      </c>
      <c r="E62" s="109"/>
      <c r="F62" s="82"/>
      <c r="G62" s="61"/>
      <c r="H62" s="58">
        <f>D62</f>
        <v>0.4</v>
      </c>
      <c r="I62" s="111"/>
    </row>
    <row r="63" spans="1:9" ht="15">
      <c r="A63" s="84" t="s">
        <v>61</v>
      </c>
      <c r="B63" s="61"/>
      <c r="C63" s="62">
        <f>D63+E63</f>
        <v>1076.8239999999998</v>
      </c>
      <c r="D63" s="14">
        <f>Situation!G14*D62</f>
        <v>88</v>
      </c>
      <c r="E63" s="62">
        <f>C60-D63</f>
        <v>988.8239999999998</v>
      </c>
      <c r="F63" s="11"/>
      <c r="G63" s="62">
        <f>H63+I63</f>
        <v>53841.2</v>
      </c>
      <c r="H63" s="14">
        <f>Situation!G14*D62*Situation!B9</f>
        <v>4400</v>
      </c>
      <c r="I63" s="85">
        <f>G60-H63</f>
        <v>49441.2</v>
      </c>
    </row>
    <row r="64" spans="1:9" ht="15">
      <c r="A64" s="86"/>
      <c r="B64" s="61"/>
      <c r="C64" s="61"/>
      <c r="D64" s="14"/>
      <c r="E64" s="62"/>
      <c r="F64" s="11"/>
      <c r="G64" s="61"/>
      <c r="H64" s="14"/>
      <c r="I64" s="85"/>
    </row>
    <row r="65" spans="1:9" ht="15.75" thickBot="1">
      <c r="A65" s="87" t="s">
        <v>41</v>
      </c>
      <c r="B65" s="71"/>
      <c r="C65" s="62">
        <f>D65+E65</f>
        <v>121.30000000000001</v>
      </c>
      <c r="D65" s="14">
        <f>D47</f>
        <v>48.65</v>
      </c>
      <c r="E65" s="14">
        <f>E47</f>
        <v>72.65</v>
      </c>
      <c r="F65" s="11"/>
      <c r="G65" s="62">
        <f>H65+I65</f>
        <v>6065</v>
      </c>
      <c r="H65" s="14">
        <f>D47*Situation!B9</f>
        <v>2432.5</v>
      </c>
      <c r="I65" s="88">
        <f>E47*Situation!B9</f>
        <v>3632.5000000000005</v>
      </c>
    </row>
    <row r="66" spans="1:9" ht="15">
      <c r="A66" s="87" t="s">
        <v>42</v>
      </c>
      <c r="B66" s="71"/>
      <c r="C66" s="55">
        <f>C63-C65</f>
        <v>955.5239999999999</v>
      </c>
      <c r="D66" s="55">
        <f>D63-D65</f>
        <v>39.35</v>
      </c>
      <c r="E66" s="55">
        <f>E63-E65</f>
        <v>916.1739999999999</v>
      </c>
      <c r="F66" s="11"/>
      <c r="G66" s="55">
        <f>G63-G65</f>
        <v>47776.2</v>
      </c>
      <c r="H66" s="55">
        <f>H63-H65</f>
        <v>1967.5</v>
      </c>
      <c r="I66" s="89">
        <f>I63-I65</f>
        <v>45808.7</v>
      </c>
    </row>
    <row r="67" spans="1:9" ht="15">
      <c r="A67" s="87"/>
      <c r="B67" s="71"/>
      <c r="C67" s="61"/>
      <c r="D67" s="14"/>
      <c r="E67" s="14"/>
      <c r="F67" s="11"/>
      <c r="G67" s="61"/>
      <c r="H67" s="14"/>
      <c r="I67" s="88"/>
    </row>
    <row r="68" spans="1:9" ht="15">
      <c r="A68" s="87" t="s">
        <v>25</v>
      </c>
      <c r="B68" s="71"/>
      <c r="C68" s="62">
        <f>D68+E68</f>
        <v>91.5675</v>
      </c>
      <c r="D68" s="14">
        <f>D24</f>
        <v>0</v>
      </c>
      <c r="E68" s="14">
        <f>E24</f>
        <v>91.5675</v>
      </c>
      <c r="F68" s="11"/>
      <c r="G68" s="62">
        <f>H68+I68</f>
        <v>4578.375</v>
      </c>
      <c r="H68" s="14">
        <f>D24*Situation!B9</f>
        <v>0</v>
      </c>
      <c r="I68" s="88">
        <f>E24*Situation!B9</f>
        <v>4578.375</v>
      </c>
    </row>
    <row r="69" spans="1:9" ht="15">
      <c r="A69" s="87"/>
      <c r="B69" s="71"/>
      <c r="C69" s="62"/>
      <c r="D69" s="14"/>
      <c r="E69" s="14"/>
      <c r="F69" s="11"/>
      <c r="G69" s="62"/>
      <c r="H69" s="14"/>
      <c r="I69" s="88"/>
    </row>
    <row r="70" spans="1:9" ht="15.75" thickBot="1">
      <c r="A70" s="107" t="s">
        <v>85</v>
      </c>
      <c r="B70" s="71"/>
      <c r="C70" s="62">
        <f>E70</f>
        <v>787.5</v>
      </c>
      <c r="D70" s="14"/>
      <c r="E70" s="14">
        <f>B53</f>
        <v>787.5</v>
      </c>
      <c r="F70" s="11"/>
      <c r="G70" s="62">
        <f>I70</f>
        <v>39375</v>
      </c>
      <c r="H70" s="14"/>
      <c r="I70" s="88">
        <f>E70*Situation!B9</f>
        <v>39375</v>
      </c>
    </row>
    <row r="71" spans="1:9" ht="15.75" thickBot="1">
      <c r="A71" s="90" t="s">
        <v>43</v>
      </c>
      <c r="B71" s="91"/>
      <c r="C71" s="92">
        <f>C66-C68-C70</f>
        <v>76.45649999999989</v>
      </c>
      <c r="D71" s="92">
        <f>D66-D68-D70</f>
        <v>39.35</v>
      </c>
      <c r="E71" s="92">
        <f>E66-E68-E70</f>
        <v>37.10649999999987</v>
      </c>
      <c r="F71" s="93"/>
      <c r="G71" s="92">
        <f>G66-G68-G70</f>
        <v>3822.824999999997</v>
      </c>
      <c r="H71" s="92">
        <f>H66-H68-H70</f>
        <v>1967.5</v>
      </c>
      <c r="I71" s="94">
        <f>I66-I68-I70</f>
        <v>1855.324999999997</v>
      </c>
    </row>
    <row r="72" spans="2:9" ht="15.75" thickBot="1">
      <c r="B72" s="21"/>
      <c r="C72" s="21"/>
      <c r="D72" s="21"/>
      <c r="E72" s="21"/>
      <c r="G72" s="11"/>
      <c r="H72" s="21"/>
      <c r="I72" s="21"/>
    </row>
    <row r="73" spans="1:9" ht="15.75">
      <c r="A73" s="95" t="s">
        <v>95</v>
      </c>
      <c r="B73" s="96"/>
      <c r="C73" s="96"/>
      <c r="D73" s="96"/>
      <c r="E73" s="96"/>
      <c r="F73" s="67"/>
      <c r="G73" s="67"/>
      <c r="H73" s="96"/>
      <c r="I73" s="97"/>
    </row>
    <row r="74" spans="1:9" ht="15.75">
      <c r="A74" s="70"/>
      <c r="B74" s="61"/>
      <c r="C74" s="72" t="s">
        <v>79</v>
      </c>
      <c r="D74" s="73"/>
      <c r="E74" s="73"/>
      <c r="F74" s="11"/>
      <c r="G74" s="63" t="s">
        <v>78</v>
      </c>
      <c r="H74" s="74"/>
      <c r="I74" s="75"/>
    </row>
    <row r="75" spans="1:9" ht="15">
      <c r="A75" s="76" t="s">
        <v>86</v>
      </c>
      <c r="B75" s="61"/>
      <c r="C75" s="14">
        <f>Situation!B15*Situation!B16/100*(1-Situation!B18)</f>
        <v>1076.8239999999998</v>
      </c>
      <c r="D75" s="61"/>
      <c r="E75" s="61"/>
      <c r="F75" s="11"/>
      <c r="G75" s="60">
        <f>(Situation!B15*Situation!B16/100)*Situation!B9*(1-Situation!B18)</f>
        <v>53841.2</v>
      </c>
      <c r="H75" s="61"/>
      <c r="I75" s="83"/>
    </row>
    <row r="76" spans="1:9" ht="15">
      <c r="A76" s="98"/>
      <c r="B76" s="61"/>
      <c r="C76" s="61" t="s">
        <v>68</v>
      </c>
      <c r="D76" s="79" t="s">
        <v>92</v>
      </c>
      <c r="E76" s="79" t="s">
        <v>93</v>
      </c>
      <c r="F76" s="11"/>
      <c r="G76" s="61" t="s">
        <v>68</v>
      </c>
      <c r="H76" s="79" t="s">
        <v>92</v>
      </c>
      <c r="I76" s="80" t="s">
        <v>93</v>
      </c>
    </row>
    <row r="77" spans="1:9" ht="15">
      <c r="A77" s="98" t="s">
        <v>59</v>
      </c>
      <c r="B77" s="61"/>
      <c r="C77" s="61"/>
      <c r="D77" s="25">
        <v>0.325</v>
      </c>
      <c r="E77" s="99">
        <f>1-D77</f>
        <v>0.675</v>
      </c>
      <c r="F77" s="11"/>
      <c r="G77" s="61"/>
      <c r="H77" s="59">
        <f>D77</f>
        <v>0.325</v>
      </c>
      <c r="I77" s="100">
        <f>1-H77</f>
        <v>0.675</v>
      </c>
    </row>
    <row r="78" spans="1:9" ht="15">
      <c r="A78" s="84" t="s">
        <v>61</v>
      </c>
      <c r="B78" s="61"/>
      <c r="C78" s="62">
        <f>D78+E78</f>
        <v>1076.8239999999998</v>
      </c>
      <c r="D78" s="62">
        <f>C75*D77</f>
        <v>349.96779999999995</v>
      </c>
      <c r="E78" s="14">
        <f>C75-D78</f>
        <v>726.8562</v>
      </c>
      <c r="F78" s="11"/>
      <c r="G78" s="62">
        <f>H78+I78</f>
        <v>53841.2</v>
      </c>
      <c r="H78" s="62">
        <f>G75*H77</f>
        <v>17498.39</v>
      </c>
      <c r="I78" s="88">
        <f>G75-H78</f>
        <v>36342.81</v>
      </c>
    </row>
    <row r="79" spans="1:9" ht="15">
      <c r="A79" s="98"/>
      <c r="B79" s="61"/>
      <c r="C79" s="61"/>
      <c r="D79" s="62"/>
      <c r="E79" s="71"/>
      <c r="F79" s="11"/>
      <c r="G79" s="61"/>
      <c r="H79" s="62"/>
      <c r="I79" s="77"/>
    </row>
    <row r="80" spans="1:9" ht="15.75" thickBot="1">
      <c r="A80" s="87" t="s">
        <v>41</v>
      </c>
      <c r="B80" s="61"/>
      <c r="C80" s="62">
        <f>D80+E80</f>
        <v>121.30000000000001</v>
      </c>
      <c r="D80" s="14">
        <f>D47</f>
        <v>48.65</v>
      </c>
      <c r="E80" s="62">
        <f>E47</f>
        <v>72.65</v>
      </c>
      <c r="F80" s="11"/>
      <c r="G80" s="62">
        <f>H80+I80</f>
        <v>6065</v>
      </c>
      <c r="H80" s="14">
        <f>D47*Situation!B9</f>
        <v>2432.5</v>
      </c>
      <c r="I80" s="85">
        <f>E47*Situation!B9</f>
        <v>3632.5000000000005</v>
      </c>
    </row>
    <row r="81" spans="1:9" ht="15">
      <c r="A81" s="87" t="s">
        <v>42</v>
      </c>
      <c r="B81" s="61"/>
      <c r="C81" s="55">
        <f>C78-C80-C86</f>
        <v>168.0239999999999</v>
      </c>
      <c r="D81" s="55">
        <f>D78-D80-D86</f>
        <v>104.44279999999998</v>
      </c>
      <c r="E81" s="55">
        <f>E78-E80-E86</f>
        <v>63.58119999999997</v>
      </c>
      <c r="F81" s="11"/>
      <c r="G81" s="55">
        <f>G78-G80</f>
        <v>47776.2</v>
      </c>
      <c r="H81" s="55">
        <f>H78-H80</f>
        <v>15065.89</v>
      </c>
      <c r="I81" s="89">
        <f>I78-I80</f>
        <v>32710.309999999998</v>
      </c>
    </row>
    <row r="82" spans="1:9" ht="15">
      <c r="A82" s="87"/>
      <c r="B82" s="61"/>
      <c r="C82" s="61"/>
      <c r="D82" s="14"/>
      <c r="E82" s="61"/>
      <c r="F82" s="11"/>
      <c r="G82" s="61"/>
      <c r="H82" s="14"/>
      <c r="I82" s="83"/>
    </row>
    <row r="83" spans="1:9" ht="15">
      <c r="A83" s="87" t="s">
        <v>25</v>
      </c>
      <c r="B83" s="61"/>
      <c r="C83" s="62">
        <f>D83+E83</f>
        <v>91.5675</v>
      </c>
      <c r="D83" s="14">
        <f>D24</f>
        <v>0</v>
      </c>
      <c r="E83" s="14">
        <f>E24</f>
        <v>91.5675</v>
      </c>
      <c r="F83" s="11"/>
      <c r="G83" s="62">
        <f>H83+I83</f>
        <v>4578.375</v>
      </c>
      <c r="H83" s="14">
        <f>D24*Situation!$B$9</f>
        <v>0</v>
      </c>
      <c r="I83" s="88">
        <f>E24*Situation!$B$9</f>
        <v>4578.375</v>
      </c>
    </row>
    <row r="84" spans="1:9" ht="15">
      <c r="A84" s="87"/>
      <c r="B84" s="61"/>
      <c r="C84" s="62"/>
      <c r="D84" s="14"/>
      <c r="E84" s="14"/>
      <c r="F84" s="11"/>
      <c r="G84" s="62"/>
      <c r="H84" s="14"/>
      <c r="I84" s="88"/>
    </row>
    <row r="85" spans="1:9" ht="15">
      <c r="A85" s="98" t="s">
        <v>87</v>
      </c>
      <c r="B85" s="61"/>
      <c r="C85" s="61"/>
      <c r="D85" s="104">
        <v>0.25</v>
      </c>
      <c r="E85" s="105">
        <f>1-D85</f>
        <v>0.75</v>
      </c>
      <c r="F85" s="11"/>
      <c r="G85" s="61"/>
      <c r="H85" s="106">
        <f>D85</f>
        <v>0.25</v>
      </c>
      <c r="I85" s="108">
        <f>1-H85</f>
        <v>0.75</v>
      </c>
    </row>
    <row r="86" spans="1:9" ht="15.75" thickBot="1">
      <c r="A86" s="107" t="s">
        <v>85</v>
      </c>
      <c r="B86" s="61"/>
      <c r="C86" s="62">
        <f>B53</f>
        <v>787.5</v>
      </c>
      <c r="D86" s="62">
        <f>D85*C86</f>
        <v>196.875</v>
      </c>
      <c r="E86" s="14">
        <f>E85*C86</f>
        <v>590.625</v>
      </c>
      <c r="F86" s="11"/>
      <c r="G86" s="62">
        <f>Situation!B9*B53</f>
        <v>39375</v>
      </c>
      <c r="H86" s="62">
        <f>H85*G86</f>
        <v>9843.75</v>
      </c>
      <c r="I86" s="88">
        <f>I85*G86</f>
        <v>29531.25</v>
      </c>
    </row>
    <row r="87" spans="1:9" ht="15.75" thickBot="1">
      <c r="A87" s="90" t="s">
        <v>43</v>
      </c>
      <c r="B87" s="101"/>
      <c r="C87" s="92">
        <f>C81-C83</f>
        <v>76.45649999999989</v>
      </c>
      <c r="D87" s="92">
        <f>D81-D83</f>
        <v>104.44279999999998</v>
      </c>
      <c r="E87" s="92">
        <f>E81-E83</f>
        <v>-27.98630000000003</v>
      </c>
      <c r="F87" s="102"/>
      <c r="G87" s="92">
        <f>G81-G83-G86</f>
        <v>3822.824999999997</v>
      </c>
      <c r="H87" s="92">
        <f>H81-H83-H86</f>
        <v>5222.139999999999</v>
      </c>
      <c r="I87" s="94">
        <f>I81-I83-I86</f>
        <v>-1399.3150000000023</v>
      </c>
    </row>
    <row r="88" spans="2:9" ht="15.75" thickBot="1">
      <c r="B88" s="21"/>
      <c r="C88" s="21"/>
      <c r="D88" s="21"/>
      <c r="E88" s="21"/>
      <c r="G88" s="11"/>
      <c r="H88" s="21"/>
      <c r="I88" s="21"/>
    </row>
    <row r="89" spans="1:9" ht="15.75">
      <c r="A89" s="95" t="s">
        <v>96</v>
      </c>
      <c r="B89" s="96"/>
      <c r="C89" s="96"/>
      <c r="D89" s="96"/>
      <c r="E89" s="96"/>
      <c r="F89" s="67"/>
      <c r="G89" s="67"/>
      <c r="H89" s="96"/>
      <c r="I89" s="97"/>
    </row>
    <row r="90" spans="1:9" ht="15.75">
      <c r="A90" s="70"/>
      <c r="B90" s="61"/>
      <c r="C90" s="72" t="s">
        <v>79</v>
      </c>
      <c r="D90" s="73"/>
      <c r="E90" s="73"/>
      <c r="F90" s="11"/>
      <c r="G90" s="63" t="s">
        <v>78</v>
      </c>
      <c r="H90" s="74"/>
      <c r="I90" s="75"/>
    </row>
    <row r="91" spans="1:9" ht="15">
      <c r="A91" s="76" t="s">
        <v>86</v>
      </c>
      <c r="B91" s="61"/>
      <c r="C91" s="14">
        <f>Situation!B15*Situation!B16/100*(1-Situation!B18)</f>
        <v>1076.8239999999998</v>
      </c>
      <c r="D91" s="61"/>
      <c r="E91" s="61"/>
      <c r="F91" s="11"/>
      <c r="G91" s="14">
        <f>Situation!B15*Situation!B16/100*Situation!B9*(1-Situation!B18)</f>
        <v>53841.2</v>
      </c>
      <c r="H91" s="61"/>
      <c r="I91" s="83"/>
    </row>
    <row r="92" spans="1:9" ht="15.75" thickBot="1">
      <c r="A92" s="107" t="s">
        <v>85</v>
      </c>
      <c r="B92" s="61"/>
      <c r="C92" s="14">
        <f>B53</f>
        <v>787.5</v>
      </c>
      <c r="D92" s="61"/>
      <c r="E92" s="61"/>
      <c r="F92" s="11"/>
      <c r="G92" s="14">
        <f>C92*Situation!B9</f>
        <v>39375</v>
      </c>
      <c r="H92" s="61"/>
      <c r="I92" s="83"/>
    </row>
    <row r="93" spans="1:9" ht="15">
      <c r="A93" s="76" t="s">
        <v>69</v>
      </c>
      <c r="B93" s="14"/>
      <c r="C93" s="55">
        <f>C91-C92</f>
        <v>289.32399999999984</v>
      </c>
      <c r="D93" s="61"/>
      <c r="E93" s="61"/>
      <c r="F93" s="11"/>
      <c r="G93" s="55">
        <f>G91-G92</f>
        <v>14466.199999999997</v>
      </c>
      <c r="H93" s="61"/>
      <c r="I93" s="83"/>
    </row>
    <row r="94" spans="1:9" ht="15">
      <c r="A94" s="98"/>
      <c r="B94" s="61"/>
      <c r="C94" s="61" t="s">
        <v>68</v>
      </c>
      <c r="D94" s="79" t="s">
        <v>92</v>
      </c>
      <c r="E94" s="79" t="s">
        <v>93</v>
      </c>
      <c r="F94" s="11"/>
      <c r="G94" s="61" t="s">
        <v>68</v>
      </c>
      <c r="H94" s="79" t="s">
        <v>92</v>
      </c>
      <c r="I94" s="80" t="s">
        <v>93</v>
      </c>
    </row>
    <row r="95" spans="1:9" ht="15">
      <c r="A95" s="98" t="s">
        <v>70</v>
      </c>
      <c r="B95" s="61"/>
      <c r="C95" s="61"/>
      <c r="D95" s="25">
        <v>0.5</v>
      </c>
      <c r="E95" s="99">
        <f>1-D95</f>
        <v>0.5</v>
      </c>
      <c r="F95" s="11"/>
      <c r="G95" s="61"/>
      <c r="H95" s="59">
        <f>D95</f>
        <v>0.5</v>
      </c>
      <c r="I95" s="100">
        <f>1-H95</f>
        <v>0.5</v>
      </c>
    </row>
    <row r="96" spans="1:9" ht="15">
      <c r="A96" s="84" t="s">
        <v>71</v>
      </c>
      <c r="B96" s="61"/>
      <c r="C96" s="62">
        <f>C93</f>
        <v>289.32399999999984</v>
      </c>
      <c r="D96" s="62">
        <f>D95*C96</f>
        <v>144.66199999999992</v>
      </c>
      <c r="E96" s="14">
        <f>E95*C96</f>
        <v>144.66199999999992</v>
      </c>
      <c r="F96" s="11"/>
      <c r="G96" s="62">
        <f>G93</f>
        <v>14466.199999999997</v>
      </c>
      <c r="H96" s="62">
        <f>H95*G96</f>
        <v>7233.0999999999985</v>
      </c>
      <c r="I96" s="88">
        <f>I95*G96</f>
        <v>7233.0999999999985</v>
      </c>
    </row>
    <row r="97" spans="1:9" ht="15">
      <c r="A97" s="98"/>
      <c r="B97" s="61"/>
      <c r="C97" s="61"/>
      <c r="D97" s="62"/>
      <c r="E97" s="71"/>
      <c r="F97" s="11"/>
      <c r="G97" s="61"/>
      <c r="H97" s="62"/>
      <c r="I97" s="77"/>
    </row>
    <row r="98" spans="1:9" ht="15.75" thickBot="1">
      <c r="A98" s="87" t="s">
        <v>41</v>
      </c>
      <c r="B98" s="61"/>
      <c r="C98" s="62">
        <f>D98+E98</f>
        <v>121.30000000000001</v>
      </c>
      <c r="D98" s="14">
        <f>D47</f>
        <v>48.65</v>
      </c>
      <c r="E98" s="62">
        <f>E47</f>
        <v>72.65</v>
      </c>
      <c r="F98" s="11"/>
      <c r="G98" s="62">
        <f>H98+I98</f>
        <v>6065</v>
      </c>
      <c r="H98" s="14">
        <f>D47*Situation!B9</f>
        <v>2432.5</v>
      </c>
      <c r="I98" s="85">
        <f>E47*Situation!B9</f>
        <v>3632.5000000000005</v>
      </c>
    </row>
    <row r="99" spans="1:9" ht="15">
      <c r="A99" s="87" t="s">
        <v>42</v>
      </c>
      <c r="B99" s="61"/>
      <c r="C99" s="55">
        <f>C96-C98</f>
        <v>168.02399999999983</v>
      </c>
      <c r="D99" s="55">
        <f>D96-D98</f>
        <v>96.01199999999992</v>
      </c>
      <c r="E99" s="55">
        <f>E96-E98</f>
        <v>72.01199999999992</v>
      </c>
      <c r="F99" s="11"/>
      <c r="G99" s="55">
        <f>G96-G98</f>
        <v>8401.199999999997</v>
      </c>
      <c r="H99" s="49">
        <f>H96-H98</f>
        <v>4800.5999999999985</v>
      </c>
      <c r="I99" s="89">
        <f>I96-I98</f>
        <v>3600.599999999998</v>
      </c>
    </row>
    <row r="100" spans="1:9" ht="15">
      <c r="A100" s="87"/>
      <c r="B100" s="61"/>
      <c r="C100" s="61"/>
      <c r="D100" s="14"/>
      <c r="E100" s="61"/>
      <c r="F100" s="11"/>
      <c r="G100" s="61"/>
      <c r="H100" s="14"/>
      <c r="I100" s="83"/>
    </row>
    <row r="101" spans="1:9" ht="15.75" thickBot="1">
      <c r="A101" s="87" t="s">
        <v>25</v>
      </c>
      <c r="B101" s="61"/>
      <c r="C101" s="62">
        <f>D101+E101</f>
        <v>91.5675</v>
      </c>
      <c r="D101" s="14">
        <f>D24</f>
        <v>0</v>
      </c>
      <c r="E101" s="14">
        <f>E24</f>
        <v>91.5675</v>
      </c>
      <c r="F101" s="11"/>
      <c r="G101" s="62">
        <f>H101+I101</f>
        <v>4578.375</v>
      </c>
      <c r="H101" s="14">
        <f>D24*Situation!B9</f>
        <v>0</v>
      </c>
      <c r="I101" s="88">
        <f>E24*Situation!B9</f>
        <v>4578.375</v>
      </c>
    </row>
    <row r="102" spans="1:9" ht="15.75" thickBot="1">
      <c r="A102" s="90" t="s">
        <v>43</v>
      </c>
      <c r="B102" s="101"/>
      <c r="C102" s="92">
        <f>C99-C101</f>
        <v>76.45649999999983</v>
      </c>
      <c r="D102" s="92">
        <f>D99-D101</f>
        <v>96.01199999999992</v>
      </c>
      <c r="E102" s="92">
        <f>E99-E101</f>
        <v>-19.55550000000008</v>
      </c>
      <c r="F102" s="102"/>
      <c r="G102" s="92">
        <f>G99-G101</f>
        <v>3822.824999999997</v>
      </c>
      <c r="H102" s="103">
        <f>H99-H101</f>
        <v>4800.5999999999985</v>
      </c>
      <c r="I102" s="94">
        <f>I99-I101</f>
        <v>-977.7750000000019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02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2.6640625" defaultRowHeight="15"/>
  <cols>
    <col min="1" max="1" width="30.21484375" style="0" customWidth="1"/>
    <col min="2" max="5" width="12.6640625" style="0" customWidth="1"/>
    <col min="6" max="6" width="6.21484375" style="0" customWidth="1"/>
  </cols>
  <sheetData>
    <row r="1" spans="1:5" ht="18.75">
      <c r="A1" s="1" t="s">
        <v>55</v>
      </c>
      <c r="B1" s="3"/>
      <c r="C1" s="3"/>
      <c r="D1" s="3"/>
      <c r="E1" s="3"/>
    </row>
    <row r="2" spans="1:5" ht="15.75">
      <c r="A2" s="4" t="s">
        <v>54</v>
      </c>
      <c r="B2" s="3"/>
      <c r="C2" s="3"/>
      <c r="D2" s="3"/>
      <c r="E2" s="3"/>
    </row>
    <row r="3" spans="1:5" ht="15.75">
      <c r="A3" s="2"/>
      <c r="B3" s="4" t="s">
        <v>1</v>
      </c>
      <c r="C3" s="4" t="s">
        <v>92</v>
      </c>
      <c r="D3" s="4" t="s">
        <v>92</v>
      </c>
      <c r="E3" s="4" t="s">
        <v>93</v>
      </c>
    </row>
    <row r="4" spans="1:5" ht="15.75">
      <c r="A4" s="5" t="s">
        <v>2</v>
      </c>
      <c r="B4" s="4" t="s">
        <v>3</v>
      </c>
      <c r="C4" s="4" t="s">
        <v>4</v>
      </c>
      <c r="D4" s="4" t="s">
        <v>5</v>
      </c>
      <c r="E4" s="4" t="s">
        <v>3</v>
      </c>
    </row>
    <row r="5" spans="1:5" ht="15">
      <c r="A5" s="6" t="s">
        <v>7</v>
      </c>
      <c r="B5" s="3"/>
      <c r="C5" s="3"/>
      <c r="D5" s="3"/>
      <c r="E5" s="3"/>
    </row>
    <row r="6" spans="1:5" ht="15">
      <c r="A6" s="2" t="s">
        <v>8</v>
      </c>
      <c r="B6" s="13">
        <f>((Situation!B4*Situation!B5)/Situation!B9)*Situation!B7*Situation!B8</f>
        <v>37.5</v>
      </c>
      <c r="C6" s="25">
        <v>0.5</v>
      </c>
      <c r="D6" s="13">
        <f>B6*C6</f>
        <v>18.75</v>
      </c>
      <c r="E6" s="13">
        <f>B6-D6</f>
        <v>18.75</v>
      </c>
    </row>
    <row r="7" spans="1:5" ht="15">
      <c r="A7" s="2" t="s">
        <v>9</v>
      </c>
      <c r="B7" s="53">
        <f>Situation!B4*Situation!B5*Situation!B6/Situation!B9*Situation!B8</f>
        <v>7.5</v>
      </c>
      <c r="C7" s="25">
        <v>0.5</v>
      </c>
      <c r="D7" s="13">
        <f>B7*C7</f>
        <v>3.75</v>
      </c>
      <c r="E7" s="13">
        <f>B7-D7</f>
        <v>3.75</v>
      </c>
    </row>
    <row r="8" spans="1:5" ht="15">
      <c r="A8" s="2" t="s">
        <v>10</v>
      </c>
      <c r="B8" s="52">
        <v>0</v>
      </c>
      <c r="C8" s="25">
        <v>0.5</v>
      </c>
      <c r="D8" s="13">
        <f>B8*C8</f>
        <v>0</v>
      </c>
      <c r="E8" s="13">
        <f>B8-D8</f>
        <v>0</v>
      </c>
    </row>
    <row r="9" spans="1:5" ht="15">
      <c r="A9" s="2"/>
      <c r="B9" s="14"/>
      <c r="C9" s="40"/>
      <c r="D9" s="13"/>
      <c r="E9" s="13"/>
    </row>
    <row r="10" spans="1:5" ht="15">
      <c r="A10" s="6" t="s">
        <v>44</v>
      </c>
      <c r="B10" s="13" t="s">
        <v>11</v>
      </c>
      <c r="C10" s="41"/>
      <c r="D10" s="13"/>
      <c r="E10" s="3"/>
    </row>
    <row r="11" spans="1:5" ht="15">
      <c r="A11" s="2" t="s">
        <v>12</v>
      </c>
      <c r="B11" s="13">
        <f>((Situation!$B$12*Situation!$B$13/100)*(Situation!G13/30))*Situation!$B$14/12</f>
        <v>4.8125</v>
      </c>
      <c r="C11" s="25">
        <v>0.5</v>
      </c>
      <c r="D11" s="13">
        <f>B11*C11</f>
        <v>2.40625</v>
      </c>
      <c r="E11" s="13">
        <f>B11-D11</f>
        <v>2.40625</v>
      </c>
    </row>
    <row r="12" spans="1:5" ht="15">
      <c r="A12" s="2" t="s">
        <v>14</v>
      </c>
      <c r="B12" s="13">
        <f>((Situation!$B$12*Situation!$B$13/100)/2)*Situation!$B$17</f>
        <v>6.3</v>
      </c>
      <c r="C12" s="25">
        <v>0.5</v>
      </c>
      <c r="D12" s="13">
        <f>B12*C12</f>
        <v>3.15</v>
      </c>
      <c r="E12" s="13">
        <f>B12-D12</f>
        <v>3.15</v>
      </c>
    </row>
    <row r="13" spans="1:5" ht="15">
      <c r="A13" s="2" t="s">
        <v>15</v>
      </c>
      <c r="B13" s="13">
        <f>Situation!$B$18*(Situation!$B$12*Situation!$B$13/100)/2</f>
        <v>7.875</v>
      </c>
      <c r="C13" s="25">
        <v>0.5</v>
      </c>
      <c r="D13" s="13">
        <f>B13*C13</f>
        <v>3.9375</v>
      </c>
      <c r="E13" s="13">
        <f>B13-D13</f>
        <v>3.9375</v>
      </c>
    </row>
    <row r="14" spans="1:5" ht="15">
      <c r="A14" s="2"/>
      <c r="B14" s="13"/>
      <c r="C14" s="41"/>
      <c r="D14" s="13"/>
      <c r="E14" s="13"/>
    </row>
    <row r="15" spans="1:5" ht="15">
      <c r="A15" s="6" t="s">
        <v>17</v>
      </c>
      <c r="B15" s="13" t="s">
        <v>11</v>
      </c>
      <c r="C15" s="41"/>
      <c r="D15" s="13"/>
      <c r="E15" s="13"/>
    </row>
    <row r="16" spans="1:5" ht="15">
      <c r="A16" s="2" t="s">
        <v>12</v>
      </c>
      <c r="B16" s="13">
        <f>(((Situation!B20+Situation!B21)/2)*Situation!B22*Situation!B23)/Situation!B9</f>
        <v>3.1</v>
      </c>
      <c r="C16" s="25">
        <v>0.5</v>
      </c>
      <c r="D16" s="13">
        <f>B16*C16</f>
        <v>1.55</v>
      </c>
      <c r="E16" s="13">
        <f>B16-D16</f>
        <v>1.55</v>
      </c>
    </row>
    <row r="17" spans="1:5" ht="15">
      <c r="A17" s="2" t="s">
        <v>13</v>
      </c>
      <c r="B17" s="13">
        <f>(((Situation!B20-Situation!B21)/Situation!B24)/Situation!B9)*Situation!B22</f>
        <v>18</v>
      </c>
      <c r="C17" s="25">
        <v>0.5</v>
      </c>
      <c r="D17" s="13">
        <f>B17*C17</f>
        <v>9</v>
      </c>
      <c r="E17" s="13">
        <f>B17-D17</f>
        <v>9</v>
      </c>
    </row>
    <row r="18" spans="1:5" ht="15">
      <c r="A18" s="2" t="s">
        <v>14</v>
      </c>
      <c r="B18" s="13">
        <f>(((Situation!B20+Situation!B21)/2)*Situation!B22*Situation!B25)/Situation!B9</f>
        <v>2.48</v>
      </c>
      <c r="C18" s="25">
        <v>0.5</v>
      </c>
      <c r="D18" s="13">
        <f>B18*C18</f>
        <v>1.24</v>
      </c>
      <c r="E18" s="13">
        <f>B18-D18</f>
        <v>1.24</v>
      </c>
    </row>
    <row r="19" spans="1:5" ht="15">
      <c r="A19" s="6" t="s">
        <v>21</v>
      </c>
      <c r="B19" s="13">
        <f>D19+E19</f>
        <v>0</v>
      </c>
      <c r="C19" s="15">
        <f>IF(B19=0,"",D19/B19)</f>
      </c>
      <c r="D19" s="42"/>
      <c r="E19" s="43"/>
    </row>
    <row r="20" spans="1:5" ht="15">
      <c r="A20" s="6" t="s">
        <v>23</v>
      </c>
      <c r="B20" s="13">
        <f>D20+E20</f>
        <v>2</v>
      </c>
      <c r="C20" s="15">
        <f>IF(B20=0,"",D20/B20)</f>
        <v>0</v>
      </c>
      <c r="D20" s="42"/>
      <c r="E20" s="43">
        <v>2</v>
      </c>
    </row>
    <row r="21" spans="1:5" ht="15">
      <c r="A21" s="6" t="s">
        <v>24</v>
      </c>
      <c r="B21" s="13"/>
      <c r="C21" s="15"/>
      <c r="D21" s="44"/>
      <c r="E21" s="44"/>
    </row>
    <row r="22" spans="1:5" ht="15">
      <c r="A22" s="7" t="s">
        <v>97</v>
      </c>
      <c r="B22" s="13">
        <f>D22+E22</f>
        <v>0</v>
      </c>
      <c r="C22" s="15"/>
      <c r="D22" s="42"/>
      <c r="E22" s="52"/>
    </row>
    <row r="23" spans="1:5" ht="15.75" thickBot="1">
      <c r="A23" s="7" t="s">
        <v>98</v>
      </c>
      <c r="B23" s="13">
        <f>D23+E23</f>
        <v>2</v>
      </c>
      <c r="C23" s="15"/>
      <c r="D23" s="115"/>
      <c r="E23" s="28">
        <v>2</v>
      </c>
    </row>
    <row r="24" spans="1:5" ht="16.5" thickTop="1">
      <c r="A24" s="5" t="s">
        <v>25</v>
      </c>
      <c r="B24" s="50">
        <f>$D24+$E24</f>
        <v>91.5675</v>
      </c>
      <c r="C24" s="15"/>
      <c r="D24" s="50">
        <f>SUM(D6:D23)</f>
        <v>43.78375</v>
      </c>
      <c r="E24" s="50">
        <f>SUM(E6:E23)</f>
        <v>47.78375</v>
      </c>
    </row>
    <row r="25" spans="1:5" ht="15.75">
      <c r="A25" s="5" t="s">
        <v>26</v>
      </c>
      <c r="B25" s="17">
        <f>B24/$B$24</f>
        <v>1</v>
      </c>
      <c r="C25" s="3"/>
      <c r="D25" s="17">
        <f>D24/$B$24</f>
        <v>0.47815818931389414</v>
      </c>
      <c r="E25" s="17">
        <f>E24/$B$24</f>
        <v>0.5218418106861059</v>
      </c>
    </row>
    <row r="26" spans="1:5" ht="15">
      <c r="A26" s="2"/>
      <c r="B26" s="16" t="s">
        <v>11</v>
      </c>
      <c r="C26" s="3"/>
      <c r="D26" s="16"/>
      <c r="E26" s="3"/>
    </row>
    <row r="27" spans="1:5" ht="15.75">
      <c r="A27" s="5" t="s">
        <v>27</v>
      </c>
      <c r="B27" s="4" t="s">
        <v>1</v>
      </c>
      <c r="C27" s="4" t="s">
        <v>92</v>
      </c>
      <c r="D27" s="4" t="s">
        <v>92</v>
      </c>
      <c r="E27" s="4" t="s">
        <v>93</v>
      </c>
    </row>
    <row r="28" spans="2:5" ht="15.75">
      <c r="B28" s="4" t="s">
        <v>3</v>
      </c>
      <c r="C28" s="4" t="s">
        <v>4</v>
      </c>
      <c r="D28" s="4" t="s">
        <v>5</v>
      </c>
      <c r="E28" s="4" t="s">
        <v>3</v>
      </c>
    </row>
    <row r="29" spans="1:5" ht="15.75">
      <c r="A29" s="2" t="s">
        <v>28</v>
      </c>
      <c r="B29" s="13"/>
      <c r="C29" s="45"/>
      <c r="D29" s="4"/>
      <c r="E29" s="4"/>
    </row>
    <row r="30" spans="1:5" ht="15">
      <c r="A30" s="7" t="s">
        <v>88</v>
      </c>
      <c r="B30" s="42">
        <v>36</v>
      </c>
      <c r="C30" s="46">
        <v>0.5</v>
      </c>
      <c r="D30" s="13">
        <f>$B30*$C30</f>
        <v>18</v>
      </c>
      <c r="E30" s="13">
        <f>$B30*(1-C30)</f>
        <v>18</v>
      </c>
    </row>
    <row r="31" spans="1:5" ht="15">
      <c r="A31" s="7" t="s">
        <v>89</v>
      </c>
      <c r="B31" s="42">
        <v>8</v>
      </c>
      <c r="C31" s="46">
        <v>0.5</v>
      </c>
      <c r="D31" s="13">
        <f>$B31*$C31</f>
        <v>4</v>
      </c>
      <c r="E31" s="13">
        <f>$B31*(1-C31)</f>
        <v>4</v>
      </c>
    </row>
    <row r="32" spans="1:5" ht="15">
      <c r="A32" s="2" t="s">
        <v>29</v>
      </c>
      <c r="B32" s="42">
        <v>0.3</v>
      </c>
      <c r="C32" s="46">
        <v>0.5</v>
      </c>
      <c r="D32" s="13">
        <f>$B32*$C32</f>
        <v>0.15</v>
      </c>
      <c r="E32" s="13">
        <f>$B32*(1-C32)</f>
        <v>0.15</v>
      </c>
    </row>
    <row r="33" spans="1:5" ht="15">
      <c r="A33" s="7" t="s">
        <v>91</v>
      </c>
      <c r="B33" s="42">
        <v>0</v>
      </c>
      <c r="C33" s="46">
        <v>0.5</v>
      </c>
      <c r="D33" s="13">
        <f>$B33*$C33</f>
        <v>0</v>
      </c>
      <c r="E33" s="13">
        <f>$B33*(1-C33)</f>
        <v>0</v>
      </c>
    </row>
    <row r="34" spans="1:5" ht="15">
      <c r="A34" s="2" t="s">
        <v>30</v>
      </c>
      <c r="B34" s="48"/>
      <c r="C34" s="48"/>
      <c r="D34" s="3"/>
      <c r="E34" s="3"/>
    </row>
    <row r="35" spans="1:5" ht="15">
      <c r="A35" s="2" t="s">
        <v>31</v>
      </c>
      <c r="B35" s="42">
        <v>18</v>
      </c>
      <c r="C35" s="46">
        <v>0</v>
      </c>
      <c r="D35" s="13">
        <f aca="true" t="shared" si="0" ref="D35:D46">$B35*$C35</f>
        <v>0</v>
      </c>
      <c r="E35" s="13">
        <f aca="true" t="shared" si="1" ref="E35:E46">$B35*(1-C35)</f>
        <v>18</v>
      </c>
    </row>
    <row r="36" spans="1:5" ht="15">
      <c r="A36" s="7" t="s">
        <v>46</v>
      </c>
      <c r="B36" s="42">
        <v>6</v>
      </c>
      <c r="C36" s="46">
        <v>0</v>
      </c>
      <c r="D36" s="13">
        <f t="shared" si="0"/>
        <v>0</v>
      </c>
      <c r="E36" s="13">
        <f t="shared" si="1"/>
        <v>6</v>
      </c>
    </row>
    <row r="37" spans="1:5" ht="15">
      <c r="A37" s="2" t="s">
        <v>32</v>
      </c>
      <c r="B37" s="42">
        <v>2</v>
      </c>
      <c r="C37" s="47">
        <v>0.5</v>
      </c>
      <c r="D37" s="13">
        <f t="shared" si="0"/>
        <v>1</v>
      </c>
      <c r="E37" s="13">
        <f t="shared" si="1"/>
        <v>1</v>
      </c>
    </row>
    <row r="38" spans="1:5" ht="15">
      <c r="A38" s="2" t="s">
        <v>33</v>
      </c>
      <c r="B38" s="42">
        <v>3</v>
      </c>
      <c r="C38" s="47">
        <v>0.5</v>
      </c>
      <c r="D38" s="13">
        <f t="shared" si="0"/>
        <v>1.5</v>
      </c>
      <c r="E38" s="13">
        <f t="shared" si="1"/>
        <v>1.5</v>
      </c>
    </row>
    <row r="39" spans="1:5" ht="15">
      <c r="A39" s="7" t="s">
        <v>45</v>
      </c>
      <c r="B39" s="42">
        <v>5</v>
      </c>
      <c r="C39" s="46">
        <v>0.5</v>
      </c>
      <c r="D39" s="13">
        <f t="shared" si="0"/>
        <v>2.5</v>
      </c>
      <c r="E39" s="13">
        <f t="shared" si="1"/>
        <v>2.5</v>
      </c>
    </row>
    <row r="40" spans="1:5" ht="15">
      <c r="A40" s="2" t="s">
        <v>34</v>
      </c>
      <c r="B40" s="42">
        <v>0</v>
      </c>
      <c r="C40" s="46">
        <v>0.5</v>
      </c>
      <c r="D40" s="13">
        <f t="shared" si="0"/>
        <v>0</v>
      </c>
      <c r="E40" s="13">
        <f t="shared" si="1"/>
        <v>0</v>
      </c>
    </row>
    <row r="41" spans="1:5" ht="15">
      <c r="A41" s="2" t="s">
        <v>35</v>
      </c>
      <c r="B41" s="42">
        <v>8</v>
      </c>
      <c r="C41" s="46">
        <v>0.5</v>
      </c>
      <c r="D41" s="13">
        <f t="shared" si="0"/>
        <v>4</v>
      </c>
      <c r="E41" s="13">
        <f t="shared" si="1"/>
        <v>4</v>
      </c>
    </row>
    <row r="42" spans="1:5" ht="15">
      <c r="A42" s="2" t="s">
        <v>36</v>
      </c>
      <c r="B42" s="42">
        <v>5</v>
      </c>
      <c r="C42" s="46">
        <v>0.5</v>
      </c>
      <c r="D42" s="13">
        <f t="shared" si="0"/>
        <v>2.5</v>
      </c>
      <c r="E42" s="13">
        <f t="shared" si="1"/>
        <v>2.5</v>
      </c>
    </row>
    <row r="43" spans="1:5" ht="15">
      <c r="A43" s="2" t="s">
        <v>37</v>
      </c>
      <c r="B43" s="42">
        <v>15</v>
      </c>
      <c r="C43" s="46">
        <v>0.5</v>
      </c>
      <c r="D43" s="13">
        <f t="shared" si="0"/>
        <v>7.5</v>
      </c>
      <c r="E43" s="13">
        <f t="shared" si="1"/>
        <v>7.5</v>
      </c>
    </row>
    <row r="44" spans="1:5" ht="15">
      <c r="A44" s="2" t="s">
        <v>38</v>
      </c>
      <c r="B44" s="23">
        <v>0</v>
      </c>
      <c r="C44" s="46">
        <v>0.5</v>
      </c>
      <c r="D44" s="13">
        <f t="shared" si="0"/>
        <v>0</v>
      </c>
      <c r="E44" s="13">
        <f t="shared" si="1"/>
        <v>0</v>
      </c>
    </row>
    <row r="45" spans="1:5" ht="15">
      <c r="A45" s="2" t="s">
        <v>39</v>
      </c>
      <c r="B45" s="26">
        <v>15</v>
      </c>
      <c r="C45" s="46">
        <v>0.5</v>
      </c>
      <c r="D45" s="13">
        <f t="shared" si="0"/>
        <v>7.5</v>
      </c>
      <c r="E45" s="13">
        <f t="shared" si="1"/>
        <v>7.5</v>
      </c>
    </row>
    <row r="46" spans="1:5" ht="15.75" thickBot="1">
      <c r="A46" s="2" t="s">
        <v>40</v>
      </c>
      <c r="B46" s="28">
        <v>0</v>
      </c>
      <c r="C46" s="46">
        <v>0.5</v>
      </c>
      <c r="D46" s="13">
        <f t="shared" si="0"/>
        <v>0</v>
      </c>
      <c r="E46" s="13">
        <f t="shared" si="1"/>
        <v>0</v>
      </c>
    </row>
    <row r="47" spans="1:5" ht="16.5" thickTop="1">
      <c r="A47" s="5" t="s">
        <v>67</v>
      </c>
      <c r="B47" s="50">
        <f>SUM(B28:B46)</f>
        <v>121.3</v>
      </c>
      <c r="C47" s="3"/>
      <c r="D47" s="50">
        <f>SUM(D28:D46)</f>
        <v>48.65</v>
      </c>
      <c r="E47" s="50">
        <f>SUM(E28:E46)</f>
        <v>72.65</v>
      </c>
    </row>
    <row r="48" spans="1:5" ht="15.75">
      <c r="A48" s="57" t="s">
        <v>66</v>
      </c>
      <c r="B48" s="17">
        <f>B47/B47</f>
        <v>1</v>
      </c>
      <c r="C48" s="17"/>
      <c r="D48" s="17">
        <f>D47/$B$47</f>
        <v>0.4010717230008244</v>
      </c>
      <c r="E48" s="17">
        <f>E47/$B$47</f>
        <v>0.5989282769991756</v>
      </c>
    </row>
    <row r="49" spans="1:5" ht="15">
      <c r="A49" s="2"/>
      <c r="B49" s="13"/>
      <c r="C49" s="3"/>
      <c r="D49" s="13"/>
      <c r="E49" s="13"/>
    </row>
    <row r="50" spans="1:5" ht="15.75">
      <c r="A50" s="5" t="s">
        <v>80</v>
      </c>
      <c r="B50" s="13">
        <f>B$24+B$47</f>
        <v>212.8675</v>
      </c>
      <c r="C50" s="3"/>
      <c r="D50" s="13">
        <f>$D$24+D$47</f>
        <v>92.43375</v>
      </c>
      <c r="E50" s="13">
        <f>$E$24+E$47</f>
        <v>120.43375</v>
      </c>
    </row>
    <row r="51" spans="1:5" ht="15.75">
      <c r="A51" s="5" t="s">
        <v>81</v>
      </c>
      <c r="B51" s="17">
        <f>B50/$B$50</f>
        <v>1</v>
      </c>
      <c r="C51" s="3"/>
      <c r="D51" s="17">
        <f>D50/$B$50</f>
        <v>0.4342313880700436</v>
      </c>
      <c r="E51" s="17">
        <f>E50/$B$50</f>
        <v>0.5657686119299564</v>
      </c>
    </row>
    <row r="52" spans="1:5" ht="15.75">
      <c r="A52" s="5"/>
      <c r="B52" s="17"/>
      <c r="C52" s="3"/>
      <c r="D52" s="17"/>
      <c r="E52" s="17"/>
    </row>
    <row r="53" spans="1:5" ht="15.75">
      <c r="A53" s="56" t="s">
        <v>57</v>
      </c>
      <c r="B53" s="18">
        <f>Situation!B12*Situation!B13/100</f>
        <v>787.5</v>
      </c>
      <c r="C53" s="40"/>
      <c r="D53" s="19"/>
      <c r="E53" s="20">
        <f>B53</f>
        <v>787.5</v>
      </c>
    </row>
    <row r="54" spans="1:5" ht="15.75">
      <c r="A54" s="5" t="s">
        <v>82</v>
      </c>
      <c r="B54" s="14">
        <f>B50+B53</f>
        <v>1000.3675000000001</v>
      </c>
      <c r="C54" s="71"/>
      <c r="D54" s="14">
        <f>D50+D53</f>
        <v>92.43375</v>
      </c>
      <c r="E54" s="14">
        <f>E50+E53</f>
        <v>907.93375</v>
      </c>
    </row>
    <row r="55" spans="1:5" ht="15.75">
      <c r="A55" s="5" t="s">
        <v>83</v>
      </c>
      <c r="B55" s="110">
        <f>B54/B54</f>
        <v>1</v>
      </c>
      <c r="C55" s="71"/>
      <c r="D55" s="110">
        <f>D54/B54</f>
        <v>0.09239979307604455</v>
      </c>
      <c r="E55" s="110">
        <f>E54/B54</f>
        <v>0.9076002069239554</v>
      </c>
    </row>
    <row r="56" spans="1:5" ht="15.75">
      <c r="A56" s="5"/>
      <c r="B56" s="17"/>
      <c r="C56" s="3"/>
      <c r="D56" s="17"/>
      <c r="E56" s="17"/>
    </row>
    <row r="57" spans="1:5" ht="16.5" thickBot="1">
      <c r="A57" s="5"/>
      <c r="B57" s="17"/>
      <c r="C57" s="3"/>
      <c r="D57" s="17"/>
      <c r="E57" s="17"/>
    </row>
    <row r="58" spans="1:9" ht="15.75">
      <c r="A58" s="64" t="s">
        <v>94</v>
      </c>
      <c r="B58" s="65"/>
      <c r="C58" s="66"/>
      <c r="D58" s="65"/>
      <c r="E58" s="65"/>
      <c r="F58" s="67"/>
      <c r="G58" s="67"/>
      <c r="H58" s="68"/>
      <c r="I58" s="69"/>
    </row>
    <row r="59" spans="1:9" ht="15.75">
      <c r="A59" s="70"/>
      <c r="B59" s="71"/>
      <c r="C59" s="72" t="s">
        <v>79</v>
      </c>
      <c r="D59" s="73"/>
      <c r="E59" s="73"/>
      <c r="F59" s="11"/>
      <c r="G59" s="63" t="s">
        <v>78</v>
      </c>
      <c r="H59" s="74"/>
      <c r="I59" s="75"/>
    </row>
    <row r="60" spans="1:9" ht="15">
      <c r="A60" s="76" t="s">
        <v>86</v>
      </c>
      <c r="B60" s="61"/>
      <c r="C60" s="14">
        <f>Situation!B15*Situation!B16/100*(1-Situation!B18)</f>
        <v>1076.8239999999998</v>
      </c>
      <c r="D60" s="71"/>
      <c r="E60" s="71"/>
      <c r="F60" s="11"/>
      <c r="G60" s="60">
        <f>(Situation!B15*Situation!B16/100)*Situation!B9*(1-Situation!B18)</f>
        <v>53841.2</v>
      </c>
      <c r="H60" s="71"/>
      <c r="I60" s="77"/>
    </row>
    <row r="61" spans="1:9" ht="15">
      <c r="A61" s="78"/>
      <c r="B61" s="61"/>
      <c r="C61" s="61" t="s">
        <v>68</v>
      </c>
      <c r="D61" s="79" t="s">
        <v>92</v>
      </c>
      <c r="E61" s="79" t="s">
        <v>93</v>
      </c>
      <c r="F61" s="11"/>
      <c r="G61" s="61" t="s">
        <v>68</v>
      </c>
      <c r="H61" s="79" t="s">
        <v>92</v>
      </c>
      <c r="I61" s="80" t="s">
        <v>93</v>
      </c>
    </row>
    <row r="62" spans="1:9" ht="15">
      <c r="A62" s="81" t="s">
        <v>60</v>
      </c>
      <c r="B62" s="61"/>
      <c r="C62" s="61"/>
      <c r="D62" s="51">
        <v>0.4</v>
      </c>
      <c r="E62" s="109"/>
      <c r="F62" s="82"/>
      <c r="G62" s="61"/>
      <c r="H62" s="58">
        <f>D62</f>
        <v>0.4</v>
      </c>
      <c r="I62" s="111"/>
    </row>
    <row r="63" spans="1:9" ht="15">
      <c r="A63" s="84" t="s">
        <v>61</v>
      </c>
      <c r="B63" s="61"/>
      <c r="C63" s="62">
        <f>D63+E63</f>
        <v>1076.8239999999998</v>
      </c>
      <c r="D63" s="14">
        <f>Situation!G14*D62</f>
        <v>88</v>
      </c>
      <c r="E63" s="62">
        <f>C60-D63</f>
        <v>988.8239999999998</v>
      </c>
      <c r="F63" s="11"/>
      <c r="G63" s="62">
        <f>H63+I63</f>
        <v>53841.2</v>
      </c>
      <c r="H63" s="14">
        <f>Situation!G14*D62*Situation!B9</f>
        <v>4400</v>
      </c>
      <c r="I63" s="85">
        <f>G60-H63</f>
        <v>49441.2</v>
      </c>
    </row>
    <row r="64" spans="1:9" ht="15">
      <c r="A64" s="86"/>
      <c r="B64" s="61"/>
      <c r="C64" s="61"/>
      <c r="D64" s="14"/>
      <c r="E64" s="62"/>
      <c r="F64" s="11"/>
      <c r="G64" s="61"/>
      <c r="H64" s="14"/>
      <c r="I64" s="85"/>
    </row>
    <row r="65" spans="1:9" ht="15.75" thickBot="1">
      <c r="A65" s="87" t="s">
        <v>41</v>
      </c>
      <c r="B65" s="71"/>
      <c r="C65" s="62">
        <f>D65+E65</f>
        <v>121.30000000000001</v>
      </c>
      <c r="D65" s="14">
        <f>D47</f>
        <v>48.65</v>
      </c>
      <c r="E65" s="14">
        <f>E47</f>
        <v>72.65</v>
      </c>
      <c r="F65" s="11"/>
      <c r="G65" s="62">
        <f>H65+I65</f>
        <v>6065</v>
      </c>
      <c r="H65" s="14">
        <f>D47*Situation!B9</f>
        <v>2432.5</v>
      </c>
      <c r="I65" s="88">
        <f>E47*Situation!B9</f>
        <v>3632.5000000000005</v>
      </c>
    </row>
    <row r="66" spans="1:9" ht="15">
      <c r="A66" s="87" t="s">
        <v>42</v>
      </c>
      <c r="B66" s="71"/>
      <c r="C66" s="55">
        <f>C63-C65</f>
        <v>955.5239999999999</v>
      </c>
      <c r="D66" s="55">
        <f>D63-D65</f>
        <v>39.35</v>
      </c>
      <c r="E66" s="55">
        <f>E63-E65</f>
        <v>916.1739999999999</v>
      </c>
      <c r="F66" s="11"/>
      <c r="G66" s="55">
        <f>G63-G65</f>
        <v>47776.2</v>
      </c>
      <c r="H66" s="55">
        <f>H63-H65</f>
        <v>1967.5</v>
      </c>
      <c r="I66" s="89">
        <f>I63-I65</f>
        <v>45808.7</v>
      </c>
    </row>
    <row r="67" spans="1:9" ht="15">
      <c r="A67" s="87"/>
      <c r="B67" s="71"/>
      <c r="C67" s="61"/>
      <c r="D67" s="14"/>
      <c r="E67" s="14"/>
      <c r="F67" s="11"/>
      <c r="G67" s="61"/>
      <c r="H67" s="14"/>
      <c r="I67" s="88"/>
    </row>
    <row r="68" spans="1:9" ht="15">
      <c r="A68" s="87" t="s">
        <v>25</v>
      </c>
      <c r="B68" s="71"/>
      <c r="C68" s="62">
        <f>D68+E68</f>
        <v>91.5675</v>
      </c>
      <c r="D68" s="14">
        <f>D24</f>
        <v>43.78375</v>
      </c>
      <c r="E68" s="14">
        <f>E24</f>
        <v>47.78375</v>
      </c>
      <c r="F68" s="11"/>
      <c r="G68" s="62">
        <f>H68+I68</f>
        <v>4578.375</v>
      </c>
      <c r="H68" s="14">
        <f>D24*Situation!B9</f>
        <v>2189.1875</v>
      </c>
      <c r="I68" s="88">
        <f>E24*Situation!B9</f>
        <v>2389.1875</v>
      </c>
    </row>
    <row r="69" spans="1:9" ht="15">
      <c r="A69" s="87"/>
      <c r="B69" s="71"/>
      <c r="C69" s="62"/>
      <c r="D69" s="14"/>
      <c r="E69" s="14"/>
      <c r="F69" s="11"/>
      <c r="G69" s="62"/>
      <c r="H69" s="14"/>
      <c r="I69" s="88"/>
    </row>
    <row r="70" spans="1:9" ht="15.75" thickBot="1">
      <c r="A70" s="107" t="s">
        <v>85</v>
      </c>
      <c r="B70" s="71"/>
      <c r="C70" s="62">
        <f>E70</f>
        <v>787.5</v>
      </c>
      <c r="D70" s="14"/>
      <c r="E70" s="14">
        <f>B53</f>
        <v>787.5</v>
      </c>
      <c r="F70" s="11"/>
      <c r="G70" s="62">
        <f>I70</f>
        <v>39375</v>
      </c>
      <c r="H70" s="14"/>
      <c r="I70" s="88">
        <f>E70*Situation!B9</f>
        <v>39375</v>
      </c>
    </row>
    <row r="71" spans="1:9" ht="15.75" thickBot="1">
      <c r="A71" s="90" t="s">
        <v>43</v>
      </c>
      <c r="B71" s="91"/>
      <c r="C71" s="92">
        <f>C66-C68-C70</f>
        <v>76.45649999999989</v>
      </c>
      <c r="D71" s="92">
        <f>D66-D68-D70</f>
        <v>-4.433749999999996</v>
      </c>
      <c r="E71" s="92">
        <f>E66-E68-E70</f>
        <v>80.89024999999992</v>
      </c>
      <c r="F71" s="93"/>
      <c r="G71" s="92">
        <f>G66-G68-G70</f>
        <v>3822.824999999997</v>
      </c>
      <c r="H71" s="92">
        <f>H66-H68-H70</f>
        <v>-221.6875</v>
      </c>
      <c r="I71" s="94">
        <f>I66-I68-I70</f>
        <v>4044.512499999997</v>
      </c>
    </row>
    <row r="72" spans="2:9" ht="15.75" thickBot="1">
      <c r="B72" s="21"/>
      <c r="C72" s="21"/>
      <c r="D72" s="21"/>
      <c r="E72" s="21"/>
      <c r="G72" s="11"/>
      <c r="H72" s="21"/>
      <c r="I72" s="21"/>
    </row>
    <row r="73" spans="1:9" ht="15.75">
      <c r="A73" s="95" t="s">
        <v>95</v>
      </c>
      <c r="B73" s="96"/>
      <c r="C73" s="96"/>
      <c r="D73" s="96"/>
      <c r="E73" s="96"/>
      <c r="F73" s="67"/>
      <c r="G73" s="67"/>
      <c r="H73" s="96"/>
      <c r="I73" s="97"/>
    </row>
    <row r="74" spans="1:9" ht="15.75">
      <c r="A74" s="70"/>
      <c r="B74" s="61"/>
      <c r="C74" s="72" t="s">
        <v>79</v>
      </c>
      <c r="D74" s="73"/>
      <c r="E74" s="73"/>
      <c r="F74" s="11"/>
      <c r="G74" s="63" t="s">
        <v>78</v>
      </c>
      <c r="H74" s="74"/>
      <c r="I74" s="75"/>
    </row>
    <row r="75" spans="1:9" ht="15">
      <c r="A75" s="76" t="s">
        <v>86</v>
      </c>
      <c r="B75" s="61"/>
      <c r="C75" s="14">
        <f>Situation!B15*Situation!B16/100*(1-Situation!B18)</f>
        <v>1076.8239999999998</v>
      </c>
      <c r="D75" s="61"/>
      <c r="E75" s="61"/>
      <c r="F75" s="11"/>
      <c r="G75" s="60">
        <f>(Situation!B15*Situation!B16/100)*Situation!B9*(1-Situation!B18)</f>
        <v>53841.2</v>
      </c>
      <c r="H75" s="61"/>
      <c r="I75" s="83"/>
    </row>
    <row r="76" spans="1:9" ht="15">
      <c r="A76" s="98"/>
      <c r="B76" s="61"/>
      <c r="C76" s="61" t="s">
        <v>68</v>
      </c>
      <c r="D76" s="79" t="s">
        <v>92</v>
      </c>
      <c r="E76" s="79" t="s">
        <v>93</v>
      </c>
      <c r="F76" s="11"/>
      <c r="G76" s="61" t="s">
        <v>68</v>
      </c>
      <c r="H76" s="79" t="s">
        <v>92</v>
      </c>
      <c r="I76" s="80" t="s">
        <v>93</v>
      </c>
    </row>
    <row r="77" spans="1:9" ht="15">
      <c r="A77" s="98" t="s">
        <v>59</v>
      </c>
      <c r="B77" s="61"/>
      <c r="C77" s="61"/>
      <c r="D77" s="25">
        <v>0.5</v>
      </c>
      <c r="E77" s="99">
        <f>1-D77</f>
        <v>0.5</v>
      </c>
      <c r="F77" s="11"/>
      <c r="G77" s="61"/>
      <c r="H77" s="59">
        <f>D77</f>
        <v>0.5</v>
      </c>
      <c r="I77" s="100">
        <f>1-H77</f>
        <v>0.5</v>
      </c>
    </row>
    <row r="78" spans="1:9" ht="15">
      <c r="A78" s="84" t="s">
        <v>61</v>
      </c>
      <c r="B78" s="61"/>
      <c r="C78" s="62">
        <f>D78+E78</f>
        <v>1076.8239999999998</v>
      </c>
      <c r="D78" s="62">
        <f>C75*D77</f>
        <v>538.4119999999999</v>
      </c>
      <c r="E78" s="14">
        <f>C75-D78</f>
        <v>538.4119999999999</v>
      </c>
      <c r="F78" s="11"/>
      <c r="G78" s="62">
        <f>H78+I78</f>
        <v>53841.2</v>
      </c>
      <c r="H78" s="62">
        <f>G75*H77</f>
        <v>26920.6</v>
      </c>
      <c r="I78" s="88">
        <f>G75-H78</f>
        <v>26920.6</v>
      </c>
    </row>
    <row r="79" spans="1:9" ht="15">
      <c r="A79" s="98"/>
      <c r="B79" s="61"/>
      <c r="C79" s="61"/>
      <c r="D79" s="62"/>
      <c r="E79" s="71"/>
      <c r="F79" s="11"/>
      <c r="G79" s="61"/>
      <c r="H79" s="62"/>
      <c r="I79" s="77"/>
    </row>
    <row r="80" spans="1:9" ht="15.75" thickBot="1">
      <c r="A80" s="87" t="s">
        <v>41</v>
      </c>
      <c r="B80" s="61"/>
      <c r="C80" s="62">
        <f>D80+E80</f>
        <v>121.30000000000001</v>
      </c>
      <c r="D80" s="14">
        <f>D47</f>
        <v>48.65</v>
      </c>
      <c r="E80" s="62">
        <f>E47</f>
        <v>72.65</v>
      </c>
      <c r="F80" s="11"/>
      <c r="G80" s="62">
        <f>H80+I80</f>
        <v>6065</v>
      </c>
      <c r="H80" s="14">
        <f>D47*Situation!B9</f>
        <v>2432.5</v>
      </c>
      <c r="I80" s="85">
        <f>E47*Situation!B9</f>
        <v>3632.5000000000005</v>
      </c>
    </row>
    <row r="81" spans="1:9" ht="15">
      <c r="A81" s="87" t="s">
        <v>42</v>
      </c>
      <c r="B81" s="61"/>
      <c r="C81" s="55">
        <f>C78-C80-C86</f>
        <v>168.0239999999999</v>
      </c>
      <c r="D81" s="55">
        <f>D78-D80-D86</f>
        <v>96.01199999999994</v>
      </c>
      <c r="E81" s="55">
        <f>E78-E80-E86</f>
        <v>72.01199999999994</v>
      </c>
      <c r="F81" s="11"/>
      <c r="G81" s="55">
        <f>G78-G80</f>
        <v>47776.2</v>
      </c>
      <c r="H81" s="55">
        <f>H78-H80</f>
        <v>24488.1</v>
      </c>
      <c r="I81" s="89">
        <f>I78-I80</f>
        <v>23288.1</v>
      </c>
    </row>
    <row r="82" spans="1:9" ht="15">
      <c r="A82" s="87"/>
      <c r="B82" s="61"/>
      <c r="C82" s="61"/>
      <c r="D82" s="14"/>
      <c r="E82" s="61"/>
      <c r="F82" s="11"/>
      <c r="G82" s="61"/>
      <c r="H82" s="14"/>
      <c r="I82" s="83"/>
    </row>
    <row r="83" spans="1:9" ht="15">
      <c r="A83" s="87" t="s">
        <v>25</v>
      </c>
      <c r="B83" s="61"/>
      <c r="C83" s="62">
        <f>D83+E83</f>
        <v>91.5675</v>
      </c>
      <c r="D83" s="14">
        <f>D24</f>
        <v>43.78375</v>
      </c>
      <c r="E83" s="14">
        <f>E24</f>
        <v>47.78375</v>
      </c>
      <c r="F83" s="11"/>
      <c r="G83" s="62">
        <f>H83+I83</f>
        <v>4578.375</v>
      </c>
      <c r="H83" s="14">
        <f>D24*Situation!$B$9</f>
        <v>2189.1875</v>
      </c>
      <c r="I83" s="88">
        <f>E24*Situation!$B$9</f>
        <v>2389.1875</v>
      </c>
    </row>
    <row r="84" spans="1:9" ht="15">
      <c r="A84" s="87"/>
      <c r="B84" s="61"/>
      <c r="C84" s="62"/>
      <c r="D84" s="14"/>
      <c r="E84" s="14"/>
      <c r="F84" s="11"/>
      <c r="G84" s="62"/>
      <c r="H84" s="14"/>
      <c r="I84" s="88"/>
    </row>
    <row r="85" spans="1:9" ht="15">
      <c r="A85" s="98" t="s">
        <v>87</v>
      </c>
      <c r="B85" s="61"/>
      <c r="C85" s="61"/>
      <c r="D85" s="104">
        <v>0.5</v>
      </c>
      <c r="E85" s="105">
        <f>1-D85</f>
        <v>0.5</v>
      </c>
      <c r="F85" s="11"/>
      <c r="G85" s="61"/>
      <c r="H85" s="106">
        <f>D85</f>
        <v>0.5</v>
      </c>
      <c r="I85" s="108">
        <f>1-H85</f>
        <v>0.5</v>
      </c>
    </row>
    <row r="86" spans="1:9" ht="15.75" thickBot="1">
      <c r="A86" s="107" t="s">
        <v>85</v>
      </c>
      <c r="B86" s="61"/>
      <c r="C86" s="62">
        <f>B53</f>
        <v>787.5</v>
      </c>
      <c r="D86" s="62">
        <f>D85*C86</f>
        <v>393.75</v>
      </c>
      <c r="E86" s="14">
        <f>E85*C86</f>
        <v>393.75</v>
      </c>
      <c r="F86" s="11"/>
      <c r="G86" s="62">
        <f>Situation!B9*B53</f>
        <v>39375</v>
      </c>
      <c r="H86" s="62">
        <f>H85*G86</f>
        <v>19687.5</v>
      </c>
      <c r="I86" s="88">
        <f>I85*G86</f>
        <v>19687.5</v>
      </c>
    </row>
    <row r="87" spans="1:9" ht="15.75" thickBot="1">
      <c r="A87" s="90" t="s">
        <v>43</v>
      </c>
      <c r="B87" s="101"/>
      <c r="C87" s="92">
        <f>C81-C83</f>
        <v>76.45649999999989</v>
      </c>
      <c r="D87" s="92">
        <f>D81-D83</f>
        <v>52.228249999999946</v>
      </c>
      <c r="E87" s="92">
        <f>E81-E83</f>
        <v>24.228249999999946</v>
      </c>
      <c r="F87" s="102"/>
      <c r="G87" s="92">
        <f>G81-G83-G86</f>
        <v>3822.824999999997</v>
      </c>
      <c r="H87" s="92">
        <f>H81-H83-H86</f>
        <v>2611.4124999999985</v>
      </c>
      <c r="I87" s="94">
        <f>I81-I83-I86</f>
        <v>1211.4124999999985</v>
      </c>
    </row>
    <row r="88" spans="2:9" ht="15.75" thickBot="1">
      <c r="B88" s="21"/>
      <c r="C88" s="21"/>
      <c r="D88" s="21"/>
      <c r="E88" s="21"/>
      <c r="G88" s="11"/>
      <c r="H88" s="21"/>
      <c r="I88" s="21"/>
    </row>
    <row r="89" spans="1:9" ht="15.75">
      <c r="A89" s="95" t="s">
        <v>96</v>
      </c>
      <c r="B89" s="96"/>
      <c r="C89" s="96"/>
      <c r="D89" s="96"/>
      <c r="E89" s="96"/>
      <c r="F89" s="67"/>
      <c r="G89" s="67"/>
      <c r="H89" s="96"/>
      <c r="I89" s="97"/>
    </row>
    <row r="90" spans="1:9" ht="15.75">
      <c r="A90" s="70"/>
      <c r="B90" s="61"/>
      <c r="C90" s="72" t="s">
        <v>79</v>
      </c>
      <c r="D90" s="73"/>
      <c r="E90" s="73"/>
      <c r="F90" s="11"/>
      <c r="G90" s="63" t="s">
        <v>78</v>
      </c>
      <c r="H90" s="74"/>
      <c r="I90" s="75"/>
    </row>
    <row r="91" spans="1:9" ht="15">
      <c r="A91" s="76" t="s">
        <v>86</v>
      </c>
      <c r="B91" s="61"/>
      <c r="C91" s="14">
        <f>Situation!B15*Situation!B16/100*(1-Situation!B18)</f>
        <v>1076.8239999999998</v>
      </c>
      <c r="D91" s="61"/>
      <c r="E91" s="61"/>
      <c r="F91" s="11"/>
      <c r="G91" s="14">
        <f>Situation!B15*Situation!B16/100*Situation!B9*(1-Situation!B18)</f>
        <v>53841.2</v>
      </c>
      <c r="H91" s="61"/>
      <c r="I91" s="83"/>
    </row>
    <row r="92" spans="1:9" ht="15.75" thickBot="1">
      <c r="A92" s="107" t="s">
        <v>85</v>
      </c>
      <c r="B92" s="61"/>
      <c r="C92" s="14">
        <f>B53</f>
        <v>787.5</v>
      </c>
      <c r="D92" s="61"/>
      <c r="E92" s="61"/>
      <c r="F92" s="11"/>
      <c r="G92" s="14">
        <f>C92*Situation!B9</f>
        <v>39375</v>
      </c>
      <c r="H92" s="61"/>
      <c r="I92" s="83"/>
    </row>
    <row r="93" spans="1:9" ht="15">
      <c r="A93" s="76" t="s">
        <v>69</v>
      </c>
      <c r="B93" s="14"/>
      <c r="C93" s="55">
        <f>C91-C92</f>
        <v>289.32399999999984</v>
      </c>
      <c r="D93" s="61"/>
      <c r="E93" s="61"/>
      <c r="F93" s="11"/>
      <c r="G93" s="55">
        <f>G91-G92</f>
        <v>14466.199999999997</v>
      </c>
      <c r="H93" s="61"/>
      <c r="I93" s="83"/>
    </row>
    <row r="94" spans="1:9" ht="15">
      <c r="A94" s="98"/>
      <c r="B94" s="61"/>
      <c r="C94" s="61" t="s">
        <v>68</v>
      </c>
      <c r="D94" s="79" t="s">
        <v>92</v>
      </c>
      <c r="E94" s="79" t="s">
        <v>93</v>
      </c>
      <c r="F94" s="11"/>
      <c r="G94" s="61" t="s">
        <v>68</v>
      </c>
      <c r="H94" s="79" t="s">
        <v>92</v>
      </c>
      <c r="I94" s="80" t="s">
        <v>93</v>
      </c>
    </row>
    <row r="95" spans="1:9" ht="15">
      <c r="A95" s="98" t="s">
        <v>70</v>
      </c>
      <c r="B95" s="61"/>
      <c r="C95" s="61"/>
      <c r="D95" s="25">
        <v>0.5</v>
      </c>
      <c r="E95" s="99">
        <f>1-D95</f>
        <v>0.5</v>
      </c>
      <c r="F95" s="11"/>
      <c r="G95" s="61"/>
      <c r="H95" s="59">
        <f>D95</f>
        <v>0.5</v>
      </c>
      <c r="I95" s="100">
        <f>1-H95</f>
        <v>0.5</v>
      </c>
    </row>
    <row r="96" spans="1:9" ht="15">
      <c r="A96" s="84" t="s">
        <v>71</v>
      </c>
      <c r="B96" s="61"/>
      <c r="C96" s="62">
        <f>C93</f>
        <v>289.32399999999984</v>
      </c>
      <c r="D96" s="62">
        <f>D95*C96</f>
        <v>144.66199999999992</v>
      </c>
      <c r="E96" s="14">
        <f>E95*C96</f>
        <v>144.66199999999992</v>
      </c>
      <c r="F96" s="11"/>
      <c r="G96" s="62">
        <f>G93</f>
        <v>14466.199999999997</v>
      </c>
      <c r="H96" s="62">
        <f>H95*G96</f>
        <v>7233.0999999999985</v>
      </c>
      <c r="I96" s="88">
        <f>I95*G96</f>
        <v>7233.0999999999985</v>
      </c>
    </row>
    <row r="97" spans="1:9" ht="15">
      <c r="A97" s="98"/>
      <c r="B97" s="61"/>
      <c r="C97" s="61"/>
      <c r="D97" s="62"/>
      <c r="E97" s="71"/>
      <c r="F97" s="11"/>
      <c r="G97" s="61"/>
      <c r="H97" s="62"/>
      <c r="I97" s="77"/>
    </row>
    <row r="98" spans="1:9" ht="15.75" thickBot="1">
      <c r="A98" s="87" t="s">
        <v>41</v>
      </c>
      <c r="B98" s="61"/>
      <c r="C98" s="62">
        <f>D98+E98</f>
        <v>121.30000000000001</v>
      </c>
      <c r="D98" s="14">
        <f>D47</f>
        <v>48.65</v>
      </c>
      <c r="E98" s="62">
        <f>E47</f>
        <v>72.65</v>
      </c>
      <c r="F98" s="11"/>
      <c r="G98" s="62">
        <f>H98+I98</f>
        <v>6065</v>
      </c>
      <c r="H98" s="14">
        <f>D47*Situation!B9</f>
        <v>2432.5</v>
      </c>
      <c r="I98" s="85">
        <f>E47*Situation!B9</f>
        <v>3632.5000000000005</v>
      </c>
    </row>
    <row r="99" spans="1:9" ht="15">
      <c r="A99" s="87" t="s">
        <v>42</v>
      </c>
      <c r="B99" s="61"/>
      <c r="C99" s="55">
        <f>C96-C98</f>
        <v>168.02399999999983</v>
      </c>
      <c r="D99" s="55">
        <f>D96-D98</f>
        <v>96.01199999999992</v>
      </c>
      <c r="E99" s="55">
        <f>E96-E98</f>
        <v>72.01199999999992</v>
      </c>
      <c r="F99" s="11"/>
      <c r="G99" s="55">
        <f>G96-G98</f>
        <v>8401.199999999997</v>
      </c>
      <c r="H99" s="49">
        <f>H96-H98</f>
        <v>4800.5999999999985</v>
      </c>
      <c r="I99" s="89">
        <f>I96-I98</f>
        <v>3600.599999999998</v>
      </c>
    </row>
    <row r="100" spans="1:9" ht="15">
      <c r="A100" s="87"/>
      <c r="B100" s="61"/>
      <c r="C100" s="61"/>
      <c r="D100" s="14"/>
      <c r="E100" s="61"/>
      <c r="F100" s="11"/>
      <c r="G100" s="61"/>
      <c r="H100" s="14"/>
      <c r="I100" s="83"/>
    </row>
    <row r="101" spans="1:9" ht="15.75" thickBot="1">
      <c r="A101" s="87" t="s">
        <v>25</v>
      </c>
      <c r="B101" s="61"/>
      <c r="C101" s="62">
        <f>D101+E101</f>
        <v>91.5675</v>
      </c>
      <c r="D101" s="14">
        <f>D24</f>
        <v>43.78375</v>
      </c>
      <c r="E101" s="14">
        <f>E24</f>
        <v>47.78375</v>
      </c>
      <c r="F101" s="11"/>
      <c r="G101" s="62">
        <f>H101+I101</f>
        <v>4578.375</v>
      </c>
      <c r="H101" s="14">
        <f>D24*Situation!B9</f>
        <v>2189.1875</v>
      </c>
      <c r="I101" s="88">
        <f>E24*Situation!B9</f>
        <v>2389.1875</v>
      </c>
    </row>
    <row r="102" spans="1:9" ht="15.75" thickBot="1">
      <c r="A102" s="90" t="s">
        <v>43</v>
      </c>
      <c r="B102" s="101"/>
      <c r="C102" s="92">
        <f>C99-C101</f>
        <v>76.45649999999983</v>
      </c>
      <c r="D102" s="92">
        <f>D99-D101</f>
        <v>52.22824999999992</v>
      </c>
      <c r="E102" s="92">
        <f>E99-E101</f>
        <v>24.228249999999917</v>
      </c>
      <c r="F102" s="102"/>
      <c r="G102" s="92">
        <f>G99-G101</f>
        <v>3822.824999999997</v>
      </c>
      <c r="H102" s="103">
        <f>H99-H101</f>
        <v>2611.4124999999985</v>
      </c>
      <c r="I102" s="94">
        <f>I99-I101</f>
        <v>1211.412499999998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- AgEcon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Student1-Ifmaps</dc:creator>
  <cp:keywords/>
  <dc:description/>
  <cp:lastModifiedBy>Sahs, Roger Vaughn</cp:lastModifiedBy>
  <cp:lastPrinted>2017-10-18T20:08:46Z</cp:lastPrinted>
  <dcterms:created xsi:type="dcterms:W3CDTF">2000-06-28T21:04:11Z</dcterms:created>
  <dcterms:modified xsi:type="dcterms:W3CDTF">2017-10-31T14:39:19Z</dcterms:modified>
  <cp:category/>
  <cp:version/>
  <cp:contentType/>
  <cp:contentStatus/>
</cp:coreProperties>
</file>