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2120" windowHeight="9060" activeTab="0"/>
  </bookViews>
  <sheets>
    <sheet name="Cost Analysis" sheetId="1" r:id="rId1"/>
    <sheet name="Quality Incentives" sheetId="2" r:id="rId2"/>
    <sheet name="Notes" sheetId="3" state="hidden" r:id="rId3"/>
  </sheets>
  <definedNames>
    <definedName name="hay">'Cost Analysis'!$A$6</definedName>
    <definedName name="main">#REF!</definedName>
    <definedName name="_xlnm.Print_Area" localSheetId="0">'Cost Analysis'!$A$1:$M$94</definedName>
  </definedNames>
  <calcPr fullCalcOnLoad="1"/>
</workbook>
</file>

<file path=xl/comments1.xml><?xml version="1.0" encoding="utf-8"?>
<comments xmlns="http://schemas.openxmlformats.org/spreadsheetml/2006/main">
  <authors>
    <author>Steve Ford</author>
    <author>Roger Sahs</author>
    <author>Lawrence Falconer</author>
  </authors>
  <commentList>
    <comment ref="F85" authorId="0">
      <text>
        <r>
          <rPr>
            <b/>
            <sz val="10"/>
            <rFont val="Tahoma"/>
            <family val="2"/>
          </rPr>
          <t xml:space="preserve">This amount represents the savings per bale if </t>
        </r>
        <r>
          <rPr>
            <b/>
            <sz val="10"/>
            <color indexed="10"/>
            <rFont val="Tahoma"/>
            <family val="2"/>
          </rPr>
          <t>both</t>
        </r>
        <r>
          <rPr>
            <b/>
            <sz val="10"/>
            <rFont val="Tahoma"/>
            <family val="2"/>
          </rPr>
          <t xml:space="preserve"> </t>
        </r>
        <r>
          <rPr>
            <b/>
            <sz val="10"/>
            <color indexed="10"/>
            <rFont val="Tahoma"/>
            <family val="2"/>
          </rPr>
          <t xml:space="preserve">harvest and haul </t>
        </r>
        <r>
          <rPr>
            <b/>
            <sz val="10"/>
            <rFont val="Tahoma"/>
            <family val="2"/>
          </rPr>
          <t>are done by a custom operator.</t>
        </r>
      </text>
    </comment>
    <comment ref="G85" authorId="0">
      <text>
        <r>
          <rPr>
            <b/>
            <sz val="10"/>
            <rFont val="Tahoma"/>
            <family val="2"/>
          </rPr>
          <t xml:space="preserve">This amount represents the savings per bale if </t>
        </r>
        <r>
          <rPr>
            <b/>
            <sz val="10"/>
            <color indexed="10"/>
            <rFont val="Tahoma"/>
            <family val="2"/>
          </rPr>
          <t xml:space="preserve">only harvest </t>
        </r>
        <r>
          <rPr>
            <b/>
            <sz val="10"/>
            <rFont val="Tahoma"/>
            <family val="2"/>
          </rPr>
          <t>is done by a custom operator.</t>
        </r>
      </text>
    </comment>
    <comment ref="L18" authorId="0">
      <text>
        <r>
          <rPr>
            <b/>
            <sz val="10"/>
            <rFont val="Tahoma"/>
            <family val="2"/>
          </rPr>
          <t>Enter a 0 to have the program calculate fuel usage for the operation.  Otherwise, specify the estimated fuel usage per acre for each operation.</t>
        </r>
      </text>
    </comment>
    <comment ref="D9" authorId="0">
      <text>
        <r>
          <rPr>
            <b/>
            <sz val="10"/>
            <rFont val="Tahoma"/>
            <family val="2"/>
          </rPr>
          <t>Enter the number of acres of hay harvested on the ranch.</t>
        </r>
        <r>
          <rPr>
            <sz val="8"/>
            <rFont val="Tahoma"/>
            <family val="2"/>
          </rPr>
          <t xml:space="preserve">
</t>
        </r>
      </text>
    </comment>
    <comment ref="D10" authorId="0">
      <text>
        <r>
          <rPr>
            <b/>
            <sz val="10"/>
            <rFont val="Tahoma"/>
            <family val="2"/>
          </rPr>
          <t>Enter the total number of bales of hay produced on the ranch each year.</t>
        </r>
        <r>
          <rPr>
            <sz val="8"/>
            <rFont val="Tahoma"/>
            <family val="2"/>
          </rPr>
          <t xml:space="preserve">
</t>
        </r>
      </text>
    </comment>
    <comment ref="D11" authorId="0">
      <text>
        <r>
          <rPr>
            <b/>
            <sz val="10"/>
            <rFont val="Tahoma"/>
            <family val="2"/>
          </rPr>
          <t>Enter the average weight of all bales as fed.</t>
        </r>
        <r>
          <rPr>
            <sz val="8"/>
            <rFont val="Tahoma"/>
            <family val="2"/>
          </rPr>
          <t xml:space="preserve">
</t>
        </r>
      </text>
    </comment>
    <comment ref="D12" authorId="0">
      <text>
        <r>
          <rPr>
            <b/>
            <sz val="10"/>
            <rFont val="Tahoma"/>
            <family val="2"/>
          </rPr>
          <t>Enter the number of hay cuttings baled each year.</t>
        </r>
        <r>
          <rPr>
            <sz val="8"/>
            <rFont val="Tahoma"/>
            <family val="2"/>
          </rPr>
          <t xml:space="preserve">
</t>
        </r>
      </text>
    </comment>
    <comment ref="D13" authorId="0">
      <text>
        <r>
          <rPr>
            <b/>
            <sz val="10"/>
            <rFont val="Tahoma"/>
            <family val="2"/>
          </rPr>
          <t>Enter the opportunity cost of the ranch's capital as a whole number (8% is entered as 8).  The opportunity cost represents the earnings of capital if invested elsewhere.  If the ranch has debt, then the borrowing rate should be entered here.</t>
        </r>
        <r>
          <rPr>
            <sz val="8"/>
            <rFont val="Tahoma"/>
            <family val="2"/>
          </rPr>
          <t xml:space="preserve">
</t>
        </r>
      </text>
    </comment>
    <comment ref="D14" authorId="0">
      <text>
        <r>
          <rPr>
            <b/>
            <sz val="10"/>
            <rFont val="Tahoma"/>
            <family val="2"/>
          </rPr>
          <t>Enter an insurance rate as a percentage of equipment market value.  The rate should be entered as a whole number (1% would be entered as 1).</t>
        </r>
        <r>
          <rPr>
            <sz val="8"/>
            <rFont val="Tahoma"/>
            <family val="2"/>
          </rPr>
          <t xml:space="preserve">
</t>
        </r>
      </text>
    </comment>
    <comment ref="K9" authorId="0">
      <text>
        <r>
          <rPr>
            <b/>
            <sz val="10"/>
            <rFont val="Tahoma"/>
            <family val="2"/>
          </rPr>
          <t>Enter the fuel price per gallon.</t>
        </r>
        <r>
          <rPr>
            <sz val="8"/>
            <rFont val="Tahoma"/>
            <family val="2"/>
          </rPr>
          <t xml:space="preserve">
</t>
        </r>
      </text>
    </comment>
    <comment ref="K10" authorId="0">
      <text>
        <r>
          <rPr>
            <b/>
            <sz val="10"/>
            <rFont val="Tahoma"/>
            <family val="2"/>
          </rPr>
          <t>Enter the wage rate per hour.  Include employer paid benefits and taxes.</t>
        </r>
        <r>
          <rPr>
            <sz val="8"/>
            <rFont val="Tahoma"/>
            <family val="2"/>
          </rPr>
          <t xml:space="preserve">
</t>
        </r>
      </text>
    </comment>
    <comment ref="K12" authorId="0">
      <text>
        <r>
          <rPr>
            <b/>
            <sz val="10"/>
            <rFont val="Tahoma"/>
            <family val="2"/>
          </rPr>
          <t>Enter the custom rate of harvesting hay in dollars per bale.</t>
        </r>
        <r>
          <rPr>
            <sz val="8"/>
            <rFont val="Tahoma"/>
            <family val="2"/>
          </rPr>
          <t xml:space="preserve">
</t>
        </r>
      </text>
    </comment>
    <comment ref="K13" authorId="0">
      <text>
        <r>
          <rPr>
            <b/>
            <sz val="10"/>
            <rFont val="Tahoma"/>
            <family val="2"/>
          </rPr>
          <t xml:space="preserve">Enter the custom rate of harvesting </t>
        </r>
        <r>
          <rPr>
            <b/>
            <sz val="10"/>
            <color indexed="10"/>
            <rFont val="Tahoma"/>
            <family val="2"/>
          </rPr>
          <t xml:space="preserve">and hauling </t>
        </r>
        <r>
          <rPr>
            <b/>
            <sz val="10"/>
            <rFont val="Tahoma"/>
            <family val="2"/>
          </rPr>
          <t>hay in dollars per bale.</t>
        </r>
        <r>
          <rPr>
            <sz val="8"/>
            <rFont val="Tahoma"/>
            <family val="2"/>
          </rPr>
          <t xml:space="preserve">
</t>
        </r>
      </text>
    </comment>
    <comment ref="K14" authorId="0">
      <text>
        <r>
          <rPr>
            <b/>
            <sz val="10"/>
            <rFont val="Tahoma"/>
            <family val="2"/>
          </rPr>
          <t>Enter the expected price of corn in dollars per bushel paid for feed in an average year.</t>
        </r>
        <r>
          <rPr>
            <sz val="10"/>
            <rFont val="Tahoma"/>
            <family val="2"/>
          </rPr>
          <t xml:space="preserve">
</t>
        </r>
      </text>
    </comment>
    <comment ref="K15" authorId="0">
      <text>
        <r>
          <rPr>
            <b/>
            <sz val="10"/>
            <rFont val="Tahoma"/>
            <family val="2"/>
          </rPr>
          <t>Enter the expected price to be paid for cottonseed meal in an average year in dollars per ton.</t>
        </r>
        <r>
          <rPr>
            <sz val="8"/>
            <rFont val="Tahoma"/>
            <family val="2"/>
          </rPr>
          <t xml:space="preserve">
</t>
        </r>
      </text>
    </comment>
    <comment ref="K16" authorId="0">
      <text>
        <r>
          <rPr>
            <b/>
            <sz val="10"/>
            <rFont val="Tahoma"/>
            <family val="2"/>
          </rPr>
          <t>Enter the value of the supervisory and management labor associated with harvesting and hauling hay in dollars per year for the ranch.</t>
        </r>
        <r>
          <rPr>
            <sz val="8"/>
            <rFont val="Tahoma"/>
            <family val="2"/>
          </rPr>
          <t xml:space="preserve">
</t>
        </r>
      </text>
    </comment>
    <comment ref="B18" authorId="0">
      <text>
        <r>
          <rPr>
            <b/>
            <sz val="10"/>
            <rFont val="Tahoma"/>
            <family val="2"/>
          </rPr>
          <t xml:space="preserve">Enter labels for each machine or implement used in harvesting hay.  Hauling equipment only should be entered in the bottom section so that the program can accurately separate hauling and harvest activities.
</t>
        </r>
      </text>
    </comment>
    <comment ref="C18" authorId="0">
      <text>
        <r>
          <rPr>
            <b/>
            <sz val="10"/>
            <rFont val="Tahoma"/>
            <family val="2"/>
          </rPr>
          <t>Enter the current market value of the machine or implement.</t>
        </r>
        <r>
          <rPr>
            <sz val="8"/>
            <rFont val="Tahoma"/>
            <family val="2"/>
          </rPr>
          <t xml:space="preserve">
</t>
        </r>
      </text>
    </comment>
    <comment ref="D18" authorId="0">
      <text>
        <r>
          <rPr>
            <b/>
            <sz val="10"/>
            <rFont val="Tahoma"/>
            <family val="2"/>
          </rPr>
          <t>Enter the expected number of years the machine or implement will be used on the ranch.</t>
        </r>
        <r>
          <rPr>
            <sz val="8"/>
            <rFont val="Tahoma"/>
            <family val="2"/>
          </rPr>
          <t xml:space="preserve">
</t>
        </r>
      </text>
    </comment>
    <comment ref="E18" authorId="0">
      <text>
        <r>
          <rPr>
            <b/>
            <sz val="10"/>
            <rFont val="Tahoma"/>
            <family val="2"/>
          </rPr>
          <t>Enter the expected market value of the machine at the end of its remaining economic life.</t>
        </r>
        <r>
          <rPr>
            <sz val="8"/>
            <rFont val="Tahoma"/>
            <family val="2"/>
          </rPr>
          <t xml:space="preserve">
</t>
        </r>
      </text>
    </comment>
    <comment ref="F18" authorId="0">
      <text>
        <r>
          <rPr>
            <b/>
            <sz val="10"/>
            <rFont val="Tahoma"/>
            <family val="2"/>
          </rPr>
          <t xml:space="preserve">If the machine or implement is rented or leased, enter the annual rent or lease payment.
</t>
        </r>
      </text>
    </comment>
    <comment ref="G18" authorId="0">
      <text>
        <r>
          <rPr>
            <b/>
            <sz val="10"/>
            <rFont val="Tahoma"/>
            <family val="2"/>
          </rPr>
          <t xml:space="preserve">Enter the percentage of total machine usage on the ranch that is spent on hay harvest.  Enter the number as a whole number (50% is entered as 50).
</t>
        </r>
      </text>
    </comment>
    <comment ref="H18" authorId="0">
      <text>
        <r>
          <rPr>
            <b/>
            <sz val="10"/>
            <rFont val="Tahoma"/>
            <family val="2"/>
          </rPr>
          <t xml:space="preserve">If hay is no longer harvested, some machines will be kept on the farm and not sold.  Also, the remaining life of those machines could be lengthened because they will be used fewer hours each year.  Enter the remaining economic life in years for machinery that would be retained if hay harvest were hired out.
</t>
        </r>
      </text>
    </comment>
    <comment ref="I18" authorId="0">
      <text>
        <r>
          <rPr>
            <b/>
            <sz val="10"/>
            <rFont val="Tahoma"/>
            <family val="2"/>
          </rPr>
          <t>Enter the tractor PTO horse power that is used with each implement.  Enter a zero (0) for tractors.  Enter the horsepower for self-propelled machines that do not pull other implements.</t>
        </r>
        <r>
          <rPr>
            <sz val="8"/>
            <rFont val="Tahoma"/>
            <family val="2"/>
          </rPr>
          <t xml:space="preserve">
</t>
        </r>
      </text>
    </comment>
    <comment ref="J18" authorId="0">
      <text>
        <r>
          <rPr>
            <b/>
            <sz val="10"/>
            <rFont val="Tahoma"/>
            <family val="2"/>
          </rPr>
          <t>Enter an average annual cost of parts and repairs (including labor) for each machine.  If the repair cost is unknown, use the repair cost estimator at the bottom of this worksheet to help estimate the annual repair costs for the machine.</t>
        </r>
        <r>
          <rPr>
            <sz val="8"/>
            <rFont val="Tahoma"/>
            <family val="2"/>
          </rPr>
          <t xml:space="preserve">
</t>
        </r>
      </text>
    </comment>
    <comment ref="K18" authorId="0">
      <text>
        <r>
          <rPr>
            <b/>
            <sz val="10"/>
            <rFont val="Tahoma"/>
            <family val="2"/>
          </rPr>
          <t xml:space="preserve">Enter the number of acres that can be covered in one hour by each implement.  For example, if you can mow 6 acres of hay in an hour, enter a 6 here.
</t>
        </r>
      </text>
    </comment>
    <comment ref="B60" authorId="1">
      <text>
        <r>
          <rPr>
            <b/>
            <sz val="10"/>
            <rFont val="Tahoma"/>
            <family val="2"/>
          </rPr>
          <t xml:space="preserve">This report presents the increase in annual ownership costs due to keeping machinery on the farm that had been used in hay harvest.  Ownership costs are reallocated over possible increases in economic life and spread over the remaining farm enterprises.
</t>
        </r>
      </text>
    </comment>
    <comment ref="E79" authorId="1">
      <text>
        <r>
          <rPr>
            <b/>
            <sz val="10"/>
            <rFont val="Tahoma"/>
            <family val="2"/>
          </rPr>
          <t>These amounts are presented in the Change in Capital Ownership Cost table.</t>
        </r>
        <r>
          <rPr>
            <sz val="8"/>
            <rFont val="Tahoma"/>
            <family val="2"/>
          </rPr>
          <t xml:space="preserve">
</t>
        </r>
      </text>
    </comment>
    <comment ref="E81" authorId="1">
      <text>
        <r>
          <rPr>
            <b/>
            <sz val="10"/>
            <rFont val="Tahoma"/>
            <family val="2"/>
          </rPr>
          <t xml:space="preserve">These amounts reflect a combination of the custom charges previously specified and the additional ownership charges associated with a custom hay harvest.
</t>
        </r>
      </text>
    </comment>
    <comment ref="K78" authorId="0">
      <text>
        <r>
          <rPr>
            <b/>
            <sz val="10"/>
            <rFont val="Tahoma"/>
            <family val="2"/>
          </rPr>
          <t>This report illustrates the sensitivity of hay yields and their effect on custom hire decisions. The advantage of custom hire will increase in years when there are lower yields.  Producers should examine yield risk and consider the long-term costs of machinery ownership with respect to poor crop years.</t>
        </r>
        <r>
          <rPr>
            <sz val="8"/>
            <rFont val="Tahoma"/>
            <family val="2"/>
          </rPr>
          <t xml:space="preserve">
</t>
        </r>
      </text>
    </comment>
    <comment ref="I99" authorId="1">
      <text>
        <r>
          <rPr>
            <b/>
            <sz val="10"/>
            <rFont val="Tahoma"/>
            <family val="2"/>
          </rPr>
          <t>Illustrates the maximum estimated hours of life available in the repair calculations.</t>
        </r>
        <r>
          <rPr>
            <sz val="8"/>
            <rFont val="Tahoma"/>
            <family val="2"/>
          </rPr>
          <t xml:space="preserve">
</t>
        </r>
      </text>
    </comment>
    <comment ref="K11" authorId="2">
      <text>
        <r>
          <rPr>
            <b/>
            <sz val="10"/>
            <rFont val="Tahoma"/>
            <family val="2"/>
          </rPr>
          <t>Enter the value for items such as hay-wrap, twine or wire on a per bale basis. This value should cover all costs other than depreciation, repairs, fuel and lube, insurance and management.</t>
        </r>
      </text>
    </comment>
  </commentList>
</comments>
</file>

<file path=xl/comments2.xml><?xml version="1.0" encoding="utf-8"?>
<comments xmlns="http://schemas.openxmlformats.org/spreadsheetml/2006/main">
  <authors>
    <author>Steve Ford</author>
  </authors>
  <commentList>
    <comment ref="A5" authorId="0">
      <text>
        <r>
          <rPr>
            <b/>
            <sz val="10"/>
            <rFont val="Tahoma"/>
            <family val="2"/>
          </rPr>
          <t xml:space="preserve">Implied feed component prices are calculated from corn and cottonseed meal prices.  Both feeds have market value determined from their nutrient compositions.  Standard nutritional compositions are used to calculate how much of the value is due to protein or TDN.  Hay prices are then adjusted given these nutrient values. 
</t>
        </r>
      </text>
    </comment>
    <comment ref="B4" authorId="0">
      <text>
        <r>
          <rPr>
            <b/>
            <sz val="10"/>
            <rFont val="Tahoma"/>
            <family val="2"/>
          </rPr>
          <t>This is the non-protein fraction of TDN</t>
        </r>
        <r>
          <rPr>
            <sz val="8"/>
            <rFont val="Tahoma"/>
            <family val="2"/>
          </rPr>
          <t xml:space="preserve">.
</t>
        </r>
      </text>
    </comment>
    <comment ref="D10" authorId="0">
      <text>
        <r>
          <rPr>
            <b/>
            <sz val="10"/>
            <rFont val="Tahoma"/>
            <family val="2"/>
          </rPr>
          <t>Hay harvests performed by custom operators may be criticized for difficulties in getting hay harvested in a timely fashion.  This table calculates increased values of hay given higher protein and TDN.  Improvements in forage quality may provide for increased payments or other incentives to custom operators to ensure a timely harvest.</t>
        </r>
        <r>
          <rPr>
            <sz val="8"/>
            <rFont val="Tahoma"/>
            <family val="2"/>
          </rPr>
          <t xml:space="preserve">
</t>
        </r>
      </text>
    </comment>
  </commentList>
</comments>
</file>

<file path=xl/sharedStrings.xml><?xml version="1.0" encoding="utf-8"?>
<sst xmlns="http://schemas.openxmlformats.org/spreadsheetml/2006/main" count="147" uniqueCount="124">
  <si>
    <t>Tractor 1</t>
  </si>
  <si>
    <t>Tractor 2</t>
  </si>
  <si>
    <t>Mower</t>
  </si>
  <si>
    <t>Rake</t>
  </si>
  <si>
    <t>Baler</t>
  </si>
  <si>
    <t>Salvage Value</t>
  </si>
  <si>
    <t>Acres of Hay</t>
  </si>
  <si>
    <t>Annual Ownership Costs</t>
  </si>
  <si>
    <t>Annual Lease Payment</t>
  </si>
  <si>
    <t>Time Used on Hay (%)</t>
  </si>
  <si>
    <t>Remaining Life if not Used for Hay</t>
  </si>
  <si>
    <t>Tractor HP Used with Operation</t>
  </si>
  <si>
    <t>Annual Repair Cost</t>
  </si>
  <si>
    <t>Total Bales Produced</t>
  </si>
  <si>
    <t>Wage Rate ($/hr)</t>
  </si>
  <si>
    <t>Number of Cuttings</t>
  </si>
  <si>
    <t>Acres per Hour per Cutting</t>
  </si>
  <si>
    <t>Insurance</t>
  </si>
  <si>
    <t>Total</t>
  </si>
  <si>
    <t>Total Costs</t>
  </si>
  <si>
    <t>Lease</t>
  </si>
  <si>
    <t>Current Market Value</t>
  </si>
  <si>
    <t>Hay</t>
  </si>
  <si>
    <t>No Hay</t>
  </si>
  <si>
    <t>Change</t>
  </si>
  <si>
    <t>Truck/Hauling</t>
  </si>
  <si>
    <t>Increased Ownership Costs from Retained Machinery</t>
  </si>
  <si>
    <t>w/ Hauling</t>
  </si>
  <si>
    <t>w/o Hauling</t>
  </si>
  <si>
    <t>Net Custom Rate per Bale</t>
  </si>
  <si>
    <t>Advantage of Custom Hire per Bale</t>
  </si>
  <si>
    <t>Bales</t>
  </si>
  <si>
    <t>(tons/acre)</t>
  </si>
  <si>
    <t>Fuel Cost ($/gal)</t>
  </si>
  <si>
    <t>Insurance Rate (% of value)</t>
  </si>
  <si>
    <t>Average Weight per Bale (lbs)</t>
  </si>
  <si>
    <t>Labor</t>
  </si>
  <si>
    <t>Fuel/Lube</t>
  </si>
  <si>
    <t>Total Operating</t>
  </si>
  <si>
    <t>Total Ownership</t>
  </si>
  <si>
    <t>Annual Operating Costs</t>
  </si>
  <si>
    <t>Equipment Information</t>
  </si>
  <si>
    <t>Annual Costs</t>
  </si>
  <si>
    <t>Ranch Cost per Bale</t>
  </si>
  <si>
    <t>Total Ranch Cost</t>
  </si>
  <si>
    <t>Ranch Cost per Ton</t>
  </si>
  <si>
    <t>Advantage of Custom Hire for Ranch</t>
  </si>
  <si>
    <t>Own or Custom Hire Hay Harvest and Haul</t>
  </si>
  <si>
    <t>Corn Price ($/bu)</t>
  </si>
  <si>
    <t>Cottonseed Meal Price ($/ton)</t>
  </si>
  <si>
    <t>Calculated Yield (tons/acre)</t>
  </si>
  <si>
    <t>Trailer</t>
  </si>
  <si>
    <t>Total Investment</t>
  </si>
  <si>
    <t>Depreciation</t>
  </si>
  <si>
    <t>Labor Hours</t>
  </si>
  <si>
    <t>Interest (Opp. Cost)</t>
  </si>
  <si>
    <t>Annual Cost of Supervisory Management</t>
  </si>
  <si>
    <t>Total Cost of Hay Harvest and Haul</t>
  </si>
  <si>
    <t>Increase TDN (% points)</t>
  </si>
  <si>
    <t>Protein</t>
  </si>
  <si>
    <t>Incentive per Bale</t>
  </si>
  <si>
    <t>Increase Protein (% points)</t>
  </si>
  <si>
    <t>Remaining Economic Life (yrs)</t>
  </si>
  <si>
    <t>Quality Incentives to Arrange for Timely Harvest</t>
  </si>
  <si>
    <t>Non-Protein TDN</t>
  </si>
  <si>
    <t>Total Ownership Costs as % of Total Investment</t>
  </si>
  <si>
    <t>Repairs</t>
  </si>
  <si>
    <t>($/point/ton)</t>
  </si>
  <si>
    <t xml:space="preserve">Implied Feed Component Prices </t>
  </si>
  <si>
    <t>($/point/bale)</t>
  </si>
  <si>
    <t>Annual Cost of Supervisory Management for Hay Harvest</t>
  </si>
  <si>
    <t>Custom Harvest and Hauling Rate ($/bale)</t>
  </si>
  <si>
    <t>Custom Harvest Rate ($/bale)</t>
  </si>
  <si>
    <t>Interest Rate (%)</t>
  </si>
  <si>
    <t>Repair Cost Calculator</t>
  </si>
  <si>
    <t>Machinery Code</t>
  </si>
  <si>
    <t>List Price</t>
  </si>
  <si>
    <t>Expected Repair Expense for Coming Year</t>
  </si>
  <si>
    <t>Annual Hours of Use</t>
  </si>
  <si>
    <t>Current Machine Age (hours)</t>
  </si>
  <si>
    <t>Average Annual Expense for Remaining Life</t>
  </si>
  <si>
    <t>Tractors</t>
  </si>
  <si>
    <t>Mowers</t>
  </si>
  <si>
    <t>Balers</t>
  </si>
  <si>
    <t>Field Equip</t>
  </si>
  <si>
    <t>Trucks</t>
  </si>
  <si>
    <t>hours</t>
  </si>
  <si>
    <t>Machinery Codes</t>
  </si>
  <si>
    <t>Tractor</t>
  </si>
  <si>
    <t>Truck</t>
  </si>
  <si>
    <t xml:space="preserve">Total lifetime hours exceed the range in the table.  Average annual repair costs over remaining life may be incorrect.  </t>
  </si>
  <si>
    <t>Decrease annual hours of use or remaining economic life.</t>
  </si>
  <si>
    <t>Table Range</t>
  </si>
  <si>
    <t>Repair Cost Factors in Lookup Tables</t>
  </si>
  <si>
    <t>N/A</t>
  </si>
  <si>
    <t>Error Message Data</t>
  </si>
  <si>
    <r>
      <rPr>
        <sz val="18"/>
        <rFont val="Arial"/>
        <family val="2"/>
      </rPr>
      <t>Own or Custom Hire Hay Harvest &amp; Haul</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and Christy Waggoner, Texas A&amp;M University
Update by
Damona Doye and Roger Sahs, Agricultural Economics, Oklahoma State University, and Lawrence Falconer, Texas Agrilife Extension Service
</t>
    </r>
  </si>
  <si>
    <t>Notes</t>
  </si>
  <si>
    <t>e version</t>
  </si>
  <si>
    <t>changes</t>
  </si>
  <si>
    <t>Insurance column of the ownership section did not account for other use on the farm</t>
  </si>
  <si>
    <t>This impacted formulas in d50:d60</t>
  </si>
  <si>
    <t>in the summary section, I separated the custom rate alternative from the current scenario</t>
  </si>
  <si>
    <t>Updated input values</t>
  </si>
  <si>
    <t>Switched line items l and m 54-55</t>
  </si>
  <si>
    <t>Other harvest</t>
  </si>
  <si>
    <t>Other hauling</t>
  </si>
  <si>
    <t>Fuel Use/Acre (gal)</t>
  </si>
  <si>
    <t>Hay Harvest Cost Summary</t>
  </si>
  <si>
    <t>Custom Harvest vs Ownership Summary</t>
  </si>
  <si>
    <t>Change in Capital Ownership Cost with Custom Hay Harvest</t>
  </si>
  <si>
    <t>Harvest &amp; Hauling</t>
  </si>
  <si>
    <t>Sensitivity to Bales Produced</t>
  </si>
  <si>
    <t>Harvest Only</t>
  </si>
  <si>
    <t>Expected Remaining Economic Life (years)</t>
  </si>
  <si>
    <t>Total Incentive</t>
  </si>
  <si>
    <t>f version</t>
  </si>
  <si>
    <t>edited comment boxes</t>
  </si>
  <si>
    <t>split content</t>
  </si>
  <si>
    <t>enlarged font</t>
  </si>
  <si>
    <t>added navigation command buttons</t>
  </si>
  <si>
    <t>Miscellaneous Costs ($/bale)</t>
  </si>
  <si>
    <t>Annual Cost of Miscellaneous Items</t>
  </si>
  <si>
    <t>Increased Ownership Costs per Bale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</si>
</sst>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0.000"/>
    <numFmt numFmtId="170" formatCode="&quot;$&quot;#,##0"/>
    <numFmt numFmtId="171" formatCode="&quot;$&quot;#,##0.0"/>
    <numFmt numFmtId="172" formatCode="&quot;$&quot;#,##0.00"/>
    <numFmt numFmtId="173" formatCode="&quot;$&quot;#,##0.0_);[Red]\(&quot;$&quot;#,##0.0\)"/>
    <numFmt numFmtId="174" formatCode="0.0"/>
    <numFmt numFmtId="175" formatCode="&quot;$&quot;#,##0.0_);\(&quot;$&quot;#,##0.0\)"/>
    <numFmt numFmtId="176" formatCode="&quot;$&quot;#,##0.000"/>
    <numFmt numFmtId="177" formatCode="&quot;$&quot;#,##0.0000"/>
    <numFmt numFmtId="178" formatCode="0.00000"/>
    <numFmt numFmtId="179" formatCode="0.0000"/>
    <numFmt numFmtId="180" formatCode="0.00_);[Red]\(0.00\)"/>
    <numFmt numFmtId="181" formatCode="0_);[Red]\(0\)"/>
    <numFmt numFmtId="182" formatCode="[$-409]dddd\,\ mmmm\ dd\,\ yyyy"/>
    <numFmt numFmtId="183" formatCode="[$-409]h:mm:ss\ AM/PM"/>
  </numFmts>
  <fonts count="49">
    <font>
      <sz val="10"/>
      <name val="Arial"/>
      <family val="0"/>
    </font>
    <font>
      <i/>
      <sz val="10"/>
      <color indexed="12"/>
      <name val="Arial"/>
      <family val="2"/>
    </font>
    <font>
      <sz val="8"/>
      <name val="Tahoma"/>
      <family val="2"/>
    </font>
    <font>
      <sz val="10"/>
      <color indexed="8"/>
      <name val="Arial"/>
      <family val="2"/>
    </font>
    <font>
      <b/>
      <sz val="10"/>
      <color indexed="10"/>
      <name val="Arial"/>
      <family val="2"/>
    </font>
    <font>
      <b/>
      <sz val="16"/>
      <name val="Arial"/>
      <family val="2"/>
    </font>
    <font>
      <sz val="18"/>
      <name val="Arial"/>
      <family val="2"/>
    </font>
    <font>
      <sz val="16"/>
      <color indexed="8"/>
      <name val="Calibri"/>
      <family val="2"/>
    </font>
    <font>
      <sz val="12"/>
      <name val="Arial"/>
      <family val="2"/>
    </font>
    <font>
      <b/>
      <sz val="12"/>
      <name val="Arial"/>
      <family val="2"/>
    </font>
    <font>
      <sz val="12"/>
      <color indexed="12"/>
      <name val="Arial"/>
      <family val="2"/>
    </font>
    <font>
      <sz val="10"/>
      <name val="Tahoma"/>
      <family val="2"/>
    </font>
    <font>
      <b/>
      <sz val="10"/>
      <name val="Tahoma"/>
      <family val="2"/>
    </font>
    <font>
      <b/>
      <sz val="10"/>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9">
    <xf numFmtId="0" fontId="0" fillId="0" borderId="0" xfId="0" applyAlignment="1">
      <alignment/>
    </xf>
    <xf numFmtId="0" fontId="0" fillId="0" borderId="0" xfId="0" applyAlignment="1">
      <alignment horizontal="center"/>
    </xf>
    <xf numFmtId="0" fontId="0" fillId="0" borderId="0" xfId="0" applyBorder="1" applyAlignment="1">
      <alignment/>
    </xf>
    <xf numFmtId="170" fontId="0" fillId="0" borderId="0" xfId="0" applyNumberFormat="1" applyAlignment="1">
      <alignment/>
    </xf>
    <xf numFmtId="9" fontId="1" fillId="0" borderId="0" xfId="57" applyFont="1" applyBorder="1" applyAlignment="1">
      <alignment horizontal="center"/>
    </xf>
    <xf numFmtId="170" fontId="1" fillId="0" borderId="0" xfId="44" applyNumberFormat="1" applyFont="1" applyBorder="1" applyAlignment="1">
      <alignment horizontal="center"/>
    </xf>
    <xf numFmtId="0" fontId="1" fillId="0" borderId="0" xfId="0" applyFont="1" applyBorder="1" applyAlignment="1">
      <alignment horizontal="center"/>
    </xf>
    <xf numFmtId="170" fontId="0" fillId="0" borderId="0" xfId="0" applyNumberFormat="1" applyBorder="1" applyAlignment="1">
      <alignment horizontal="center"/>
    </xf>
    <xf numFmtId="0" fontId="3" fillId="0" borderId="0" xfId="0" applyFont="1" applyFill="1" applyAlignment="1">
      <alignment/>
    </xf>
    <xf numFmtId="179" fontId="0" fillId="0" borderId="0" xfId="0" applyNumberFormat="1" applyAlignment="1">
      <alignment horizontal="center"/>
    </xf>
    <xf numFmtId="172" fontId="0" fillId="0" borderId="0" xfId="0" applyNumberFormat="1" applyAlignment="1">
      <alignment horizontal="center"/>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8" fillId="0" borderId="0" xfId="0" applyFont="1" applyAlignment="1">
      <alignment/>
    </xf>
    <xf numFmtId="1" fontId="10" fillId="0" borderId="12" xfId="42" applyNumberFormat="1" applyFont="1" applyBorder="1" applyAlignment="1" applyProtection="1">
      <alignment horizontal="center"/>
      <protection locked="0"/>
    </xf>
    <xf numFmtId="7" fontId="10" fillId="0" borderId="12" xfId="44" applyNumberFormat="1" applyFont="1" applyBorder="1" applyAlignment="1" applyProtection="1">
      <alignment horizontal="center"/>
      <protection locked="0"/>
    </xf>
    <xf numFmtId="1" fontId="10" fillId="0" borderId="13" xfId="42" applyNumberFormat="1" applyFont="1" applyBorder="1" applyAlignment="1" applyProtection="1">
      <alignment horizontal="center"/>
      <protection locked="0"/>
    </xf>
    <xf numFmtId="7" fontId="10" fillId="0" borderId="13" xfId="44" applyNumberFormat="1" applyFont="1" applyBorder="1" applyAlignment="1" applyProtection="1">
      <alignment horizontal="center"/>
      <protection locked="0"/>
    </xf>
    <xf numFmtId="174" fontId="10" fillId="0" borderId="13" xfId="57" applyNumberFormat="1" applyFont="1" applyBorder="1" applyAlignment="1" applyProtection="1">
      <alignment horizontal="center"/>
      <protection locked="0"/>
    </xf>
    <xf numFmtId="172" fontId="10" fillId="0" borderId="13" xfId="0" applyNumberFormat="1" applyFont="1" applyBorder="1" applyAlignment="1" applyProtection="1">
      <alignment horizontal="center"/>
      <protection locked="0"/>
    </xf>
    <xf numFmtId="174" fontId="10" fillId="0" borderId="14" xfId="57" applyNumberFormat="1" applyFont="1" applyBorder="1" applyAlignment="1" applyProtection="1">
      <alignment horizontal="center"/>
      <protection locked="0"/>
    </xf>
    <xf numFmtId="170" fontId="10" fillId="0" borderId="13" xfId="0" applyNumberFormat="1" applyFont="1" applyBorder="1" applyAlignment="1" applyProtection="1">
      <alignment horizontal="center"/>
      <protection locked="0"/>
    </xf>
    <xf numFmtId="2" fontId="9" fillId="0" borderId="15" xfId="42" applyNumberFormat="1" applyFont="1" applyBorder="1" applyAlignment="1">
      <alignment horizontal="center"/>
    </xf>
    <xf numFmtId="170" fontId="10" fillId="0" borderId="14" xfId="0" applyNumberFormat="1" applyFont="1" applyBorder="1" applyAlignment="1" applyProtection="1">
      <alignment horizontal="center"/>
      <protection locked="0"/>
    </xf>
    <xf numFmtId="0" fontId="9" fillId="0" borderId="15"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21" xfId="0" applyFont="1" applyFill="1" applyBorder="1" applyAlignment="1">
      <alignment horizontal="center" wrapText="1"/>
    </xf>
    <xf numFmtId="0" fontId="10" fillId="0" borderId="12" xfId="0" applyFont="1" applyBorder="1" applyAlignment="1" applyProtection="1">
      <alignment/>
      <protection locked="0"/>
    </xf>
    <xf numFmtId="0" fontId="10" fillId="0" borderId="13" xfId="0" applyFont="1" applyBorder="1" applyAlignment="1" applyProtection="1">
      <alignment/>
      <protection locked="0"/>
    </xf>
    <xf numFmtId="0" fontId="10" fillId="0" borderId="14" xfId="0" applyFont="1" applyBorder="1" applyAlignment="1" applyProtection="1">
      <alignment/>
      <protection locked="0"/>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9" fillId="0" borderId="15" xfId="0" applyFont="1" applyBorder="1" applyAlignment="1">
      <alignment/>
    </xf>
    <xf numFmtId="0" fontId="8" fillId="0" borderId="0" xfId="0" applyFont="1" applyFill="1" applyBorder="1" applyAlignment="1">
      <alignment/>
    </xf>
    <xf numFmtId="0" fontId="8" fillId="0" borderId="24"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6" xfId="0" applyFont="1" applyFill="1" applyBorder="1" applyAlignment="1">
      <alignment horizontal="center" wrapText="1"/>
    </xf>
    <xf numFmtId="0" fontId="8" fillId="0" borderId="27" xfId="0" applyFont="1" applyFill="1" applyBorder="1" applyAlignment="1">
      <alignment horizontal="center"/>
    </xf>
    <xf numFmtId="0" fontId="8" fillId="0" borderId="0" xfId="0" applyFont="1" applyFill="1" applyBorder="1" applyAlignment="1">
      <alignment horizontal="center"/>
    </xf>
    <xf numFmtId="0" fontId="8" fillId="0" borderId="28" xfId="0" applyFont="1" applyFill="1" applyBorder="1" applyAlignment="1">
      <alignment horizontal="center" wrapText="1"/>
    </xf>
    <xf numFmtId="0" fontId="8" fillId="0" borderId="29" xfId="0" applyFont="1" applyFill="1" applyBorder="1" applyAlignment="1">
      <alignment horizontal="center"/>
    </xf>
    <xf numFmtId="0" fontId="8" fillId="0" borderId="0" xfId="0" applyFont="1" applyFill="1" applyBorder="1" applyAlignment="1">
      <alignment horizontal="center" wrapText="1"/>
    </xf>
    <xf numFmtId="0" fontId="8" fillId="0" borderId="26" xfId="0" applyFont="1" applyBorder="1" applyAlignment="1">
      <alignment horizontal="center"/>
    </xf>
    <xf numFmtId="0" fontId="8" fillId="0" borderId="29" xfId="0" applyFont="1" applyFill="1" applyBorder="1" applyAlignment="1">
      <alignment horizontal="center" wrapText="1"/>
    </xf>
    <xf numFmtId="0" fontId="8" fillId="0" borderId="30" xfId="0" applyFont="1" applyBorder="1" applyAlignment="1">
      <alignment/>
    </xf>
    <xf numFmtId="170" fontId="8" fillId="0" borderId="10" xfId="0" applyNumberFormat="1" applyFont="1" applyBorder="1" applyAlignment="1">
      <alignment horizontal="center"/>
    </xf>
    <xf numFmtId="170" fontId="8" fillId="0" borderId="0" xfId="0" applyNumberFormat="1" applyFont="1" applyBorder="1" applyAlignment="1">
      <alignment horizontal="center"/>
    </xf>
    <xf numFmtId="0" fontId="8" fillId="0" borderId="31" xfId="0" applyFont="1" applyBorder="1" applyAlignment="1">
      <alignment/>
    </xf>
    <xf numFmtId="170" fontId="8" fillId="0" borderId="11" xfId="0" applyNumberFormat="1" applyFont="1" applyBorder="1" applyAlignment="1">
      <alignment horizontal="center"/>
    </xf>
    <xf numFmtId="0" fontId="9" fillId="0" borderId="24" xfId="0" applyFont="1" applyBorder="1" applyAlignment="1">
      <alignment/>
    </xf>
    <xf numFmtId="0" fontId="9" fillId="0" borderId="0" xfId="0" applyFont="1" applyBorder="1" applyAlignment="1">
      <alignment/>
    </xf>
    <xf numFmtId="170" fontId="9" fillId="0" borderId="0" xfId="44" applyNumberFormat="1" applyFont="1" applyBorder="1" applyAlignment="1">
      <alignment horizontal="center"/>
    </xf>
    <xf numFmtId="0" fontId="8" fillId="0" borderId="32" xfId="0" applyFont="1" applyFill="1" applyBorder="1" applyAlignment="1">
      <alignment/>
    </xf>
    <xf numFmtId="170" fontId="9" fillId="0" borderId="32" xfId="44" applyNumberFormat="1" applyFont="1" applyFill="1" applyBorder="1" applyAlignment="1">
      <alignment horizontal="center"/>
    </xf>
    <xf numFmtId="0" fontId="8" fillId="0" borderId="32" xfId="0" applyFont="1" applyBorder="1" applyAlignment="1">
      <alignment/>
    </xf>
    <xf numFmtId="170" fontId="9" fillId="0" borderId="25" xfId="44" applyNumberFormat="1" applyFont="1" applyFill="1" applyBorder="1" applyAlignment="1">
      <alignment horizontal="center"/>
    </xf>
    <xf numFmtId="0" fontId="8" fillId="0" borderId="11" xfId="0" applyFont="1" applyFill="1" applyBorder="1" applyAlignment="1">
      <alignment/>
    </xf>
    <xf numFmtId="167" fontId="8" fillId="0" borderId="11" xfId="0" applyNumberFormat="1" applyFont="1" applyFill="1" applyBorder="1" applyAlignment="1">
      <alignment/>
    </xf>
    <xf numFmtId="0" fontId="8" fillId="0" borderId="33" xfId="0" applyFont="1" applyFill="1" applyBorder="1" applyAlignment="1">
      <alignment/>
    </xf>
    <xf numFmtId="0" fontId="8" fillId="0" borderId="0" xfId="0" applyFont="1" applyAlignment="1">
      <alignment horizontal="center"/>
    </xf>
    <xf numFmtId="0" fontId="8" fillId="0" borderId="34" xfId="0" applyFont="1" applyFill="1" applyBorder="1" applyAlignment="1">
      <alignment horizontal="center"/>
    </xf>
    <xf numFmtId="0" fontId="9" fillId="0" borderId="0" xfId="0" applyFont="1" applyAlignment="1">
      <alignment/>
    </xf>
    <xf numFmtId="0" fontId="8" fillId="0" borderId="11" xfId="0" applyFont="1" applyBorder="1" applyAlignment="1">
      <alignment/>
    </xf>
    <xf numFmtId="0" fontId="8" fillId="0" borderId="34" xfId="0" applyFont="1" applyBorder="1" applyAlignment="1">
      <alignment/>
    </xf>
    <xf numFmtId="0" fontId="8" fillId="0" borderId="0" xfId="0" applyFont="1" applyBorder="1" applyAlignment="1">
      <alignment/>
    </xf>
    <xf numFmtId="172" fontId="8" fillId="0" borderId="30" xfId="0" applyNumberFormat="1" applyFont="1" applyBorder="1" applyAlignment="1">
      <alignment horizontal="center"/>
    </xf>
    <xf numFmtId="172" fontId="8" fillId="0" borderId="31" xfId="0" applyNumberFormat="1" applyFont="1" applyBorder="1" applyAlignment="1">
      <alignment horizontal="center"/>
    </xf>
    <xf numFmtId="172" fontId="8" fillId="0" borderId="28" xfId="0" applyNumberFormat="1" applyFont="1" applyBorder="1" applyAlignment="1">
      <alignment horizontal="center"/>
    </xf>
    <xf numFmtId="0" fontId="8" fillId="0" borderId="26" xfId="0" applyFont="1" applyBorder="1" applyAlignment="1">
      <alignment/>
    </xf>
    <xf numFmtId="172" fontId="8" fillId="0" borderId="34" xfId="0" applyNumberFormat="1" applyFont="1" applyBorder="1" applyAlignment="1">
      <alignment horizontal="center"/>
    </xf>
    <xf numFmtId="172" fontId="8" fillId="0" borderId="35" xfId="0" applyNumberFormat="1" applyFont="1" applyBorder="1" applyAlignment="1">
      <alignment horizontal="center"/>
    </xf>
    <xf numFmtId="172" fontId="8" fillId="0" borderId="26" xfId="0" applyNumberFormat="1" applyFont="1" applyBorder="1" applyAlignment="1">
      <alignment horizontal="center"/>
    </xf>
    <xf numFmtId="3" fontId="8" fillId="0" borderId="30" xfId="0" applyNumberFormat="1" applyFont="1" applyBorder="1" applyAlignment="1">
      <alignment horizontal="center"/>
    </xf>
    <xf numFmtId="2" fontId="8" fillId="0" borderId="27" xfId="0" applyNumberFormat="1" applyFont="1" applyBorder="1" applyAlignment="1">
      <alignment horizontal="center"/>
    </xf>
    <xf numFmtId="0" fontId="8" fillId="0" borderId="28" xfId="0" applyFont="1" applyBorder="1" applyAlignment="1">
      <alignment/>
    </xf>
    <xf numFmtId="172" fontId="8" fillId="0" borderId="33" xfId="0" applyNumberFormat="1" applyFont="1" applyBorder="1" applyAlignment="1">
      <alignment horizontal="center"/>
    </xf>
    <xf numFmtId="3" fontId="8" fillId="0" borderId="31" xfId="0" applyNumberFormat="1" applyFont="1" applyBorder="1" applyAlignment="1">
      <alignment horizontal="center"/>
    </xf>
    <xf numFmtId="2" fontId="8" fillId="0" borderId="28" xfId="0" applyNumberFormat="1" applyFont="1" applyBorder="1" applyAlignment="1">
      <alignment horizontal="center"/>
    </xf>
    <xf numFmtId="3" fontId="8" fillId="0" borderId="0" xfId="0" applyNumberFormat="1" applyFont="1" applyBorder="1" applyAlignment="1">
      <alignment horizontal="center"/>
    </xf>
    <xf numFmtId="2" fontId="8" fillId="0" borderId="0" xfId="0" applyNumberFormat="1" applyFont="1" applyBorder="1" applyAlignment="1">
      <alignment horizontal="center"/>
    </xf>
    <xf numFmtId="8" fontId="8" fillId="0" borderId="0" xfId="44" applyNumberFormat="1" applyFont="1" applyBorder="1" applyAlignment="1">
      <alignment horizontal="center"/>
    </xf>
    <xf numFmtId="181" fontId="8" fillId="0" borderId="0" xfId="0" applyNumberFormat="1" applyFont="1" applyAlignment="1">
      <alignment/>
    </xf>
    <xf numFmtId="181" fontId="10" fillId="0" borderId="15" xfId="0" applyNumberFormat="1"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1" fontId="8" fillId="0" borderId="15" xfId="0" applyNumberFormat="1" applyFont="1" applyFill="1" applyBorder="1" applyAlignment="1" applyProtection="1">
      <alignment horizontal="center"/>
      <protection/>
    </xf>
    <xf numFmtId="0" fontId="10" fillId="0" borderId="12" xfId="0" applyFont="1" applyFill="1" applyBorder="1" applyAlignment="1" applyProtection="1">
      <alignment horizontal="center"/>
      <protection locked="0"/>
    </xf>
    <xf numFmtId="172" fontId="8" fillId="0" borderId="10" xfId="0" applyNumberFormat="1" applyFont="1" applyBorder="1" applyAlignment="1">
      <alignment horizontal="center"/>
    </xf>
    <xf numFmtId="0" fontId="10" fillId="0" borderId="13" xfId="0" applyFont="1" applyFill="1" applyBorder="1" applyAlignment="1" applyProtection="1">
      <alignment horizontal="center"/>
      <protection locked="0"/>
    </xf>
    <xf numFmtId="172" fontId="8" fillId="0" borderId="0" xfId="0" applyNumberFormat="1" applyFont="1" applyBorder="1" applyAlignment="1">
      <alignment horizontal="center"/>
    </xf>
    <xf numFmtId="172" fontId="8" fillId="0" borderId="36" xfId="0" applyNumberFormat="1" applyFont="1" applyBorder="1" applyAlignment="1">
      <alignment horizontal="center"/>
    </xf>
    <xf numFmtId="0" fontId="10" fillId="0" borderId="22" xfId="0" applyFont="1" applyFill="1" applyBorder="1" applyAlignment="1" applyProtection="1">
      <alignment horizontal="center"/>
      <protection locked="0"/>
    </xf>
    <xf numFmtId="0" fontId="10" fillId="0" borderId="23" xfId="0" applyFont="1" applyFill="1" applyBorder="1" applyAlignment="1" applyProtection="1">
      <alignment horizontal="center"/>
      <protection locked="0"/>
    </xf>
    <xf numFmtId="172" fontId="8" fillId="0" borderId="11" xfId="0" applyNumberFormat="1" applyFont="1" applyBorder="1" applyAlignment="1">
      <alignment horizontal="center"/>
    </xf>
    <xf numFmtId="0" fontId="10" fillId="0" borderId="12" xfId="0" applyFont="1" applyBorder="1" applyAlignment="1" applyProtection="1">
      <alignment horizontal="center"/>
      <protection locked="0"/>
    </xf>
    <xf numFmtId="0" fontId="8" fillId="0" borderId="15" xfId="0" applyFont="1" applyBorder="1" applyAlignment="1">
      <alignment horizontal="center"/>
    </xf>
    <xf numFmtId="0" fontId="8" fillId="0" borderId="37" xfId="0" applyFont="1" applyBorder="1" applyAlignment="1">
      <alignment horizontal="center"/>
    </xf>
    <xf numFmtId="0" fontId="8" fillId="0" borderId="12" xfId="0" applyFont="1" applyBorder="1" applyAlignment="1">
      <alignment horizontal="center"/>
    </xf>
    <xf numFmtId="3" fontId="8" fillId="0" borderId="12" xfId="0" applyNumberFormat="1" applyFont="1" applyBorder="1" applyAlignment="1">
      <alignment horizontal="center"/>
    </xf>
    <xf numFmtId="3" fontId="10" fillId="0" borderId="13" xfId="0" applyNumberFormat="1" applyFont="1" applyBorder="1" applyAlignment="1" applyProtection="1">
      <alignment horizontal="center"/>
      <protection locked="0"/>
    </xf>
    <xf numFmtId="0" fontId="8" fillId="0" borderId="22" xfId="0" applyFont="1" applyBorder="1" applyAlignment="1">
      <alignment horizontal="center"/>
    </xf>
    <xf numFmtId="0" fontId="8" fillId="0" borderId="13" xfId="0" applyFont="1" applyBorder="1" applyAlignment="1">
      <alignment horizontal="center"/>
    </xf>
    <xf numFmtId="3" fontId="8" fillId="0" borderId="13" xfId="0" applyNumberFormat="1" applyFont="1" applyBorder="1" applyAlignment="1">
      <alignment horizontal="center"/>
    </xf>
    <xf numFmtId="0" fontId="8" fillId="0" borderId="0" xfId="0" applyFont="1" applyFill="1" applyAlignment="1">
      <alignment/>
    </xf>
    <xf numFmtId="0" fontId="8" fillId="0" borderId="13" xfId="0" applyFont="1" applyFill="1" applyBorder="1" applyAlignment="1">
      <alignment horizontal="center"/>
    </xf>
    <xf numFmtId="0" fontId="10" fillId="0" borderId="13" xfId="0" applyFont="1" applyBorder="1" applyAlignment="1" applyProtection="1">
      <alignment horizontal="center"/>
      <protection locked="0"/>
    </xf>
    <xf numFmtId="170" fontId="8" fillId="0" borderId="12" xfId="0" applyNumberFormat="1" applyFont="1" applyBorder="1" applyAlignment="1">
      <alignment horizontal="center"/>
    </xf>
    <xf numFmtId="0" fontId="8" fillId="0" borderId="23" xfId="0" applyFont="1" applyBorder="1" applyAlignment="1">
      <alignment horizontal="center"/>
    </xf>
    <xf numFmtId="0" fontId="8" fillId="0" borderId="14" xfId="0" applyFont="1" applyBorder="1" applyAlignment="1">
      <alignment horizontal="center"/>
    </xf>
    <xf numFmtId="3" fontId="8" fillId="0" borderId="14" xfId="0" applyNumberFormat="1" applyFont="1" applyBorder="1" applyAlignment="1">
      <alignment horizontal="center"/>
    </xf>
    <xf numFmtId="170" fontId="8" fillId="0" borderId="14" xfId="0" applyNumberFormat="1" applyFont="1" applyBorder="1" applyAlignment="1">
      <alignment horizontal="center"/>
    </xf>
    <xf numFmtId="0" fontId="9" fillId="0" borderId="38" xfId="0" applyFont="1" applyBorder="1" applyAlignment="1">
      <alignment/>
    </xf>
    <xf numFmtId="170" fontId="9" fillId="0" borderId="38" xfId="44" applyNumberFormat="1" applyFont="1" applyBorder="1" applyAlignment="1">
      <alignment horizontal="center"/>
    </xf>
    <xf numFmtId="0" fontId="1" fillId="0" borderId="38" xfId="0" applyFont="1" applyBorder="1" applyAlignment="1">
      <alignment horizontal="center"/>
    </xf>
    <xf numFmtId="170" fontId="1" fillId="0" borderId="38" xfId="44" applyNumberFormat="1" applyFont="1" applyBorder="1" applyAlignment="1">
      <alignment horizontal="center"/>
    </xf>
    <xf numFmtId="9" fontId="1" fillId="0" borderId="38" xfId="57" applyFont="1" applyBorder="1" applyAlignment="1">
      <alignment horizontal="center"/>
    </xf>
    <xf numFmtId="0" fontId="0" fillId="0" borderId="38" xfId="0" applyBorder="1" applyAlignment="1">
      <alignment/>
    </xf>
    <xf numFmtId="0" fontId="9" fillId="0" borderId="0" xfId="0" applyFont="1" applyAlignment="1" applyProtection="1">
      <alignment horizontal="left"/>
      <protection/>
    </xf>
    <xf numFmtId="0" fontId="8" fillId="0" borderId="26" xfId="0" applyFont="1" applyFill="1" applyBorder="1" applyAlignment="1">
      <alignment/>
    </xf>
    <xf numFmtId="0" fontId="9" fillId="0" borderId="28" xfId="0" applyFont="1" applyFill="1" applyBorder="1" applyAlignment="1">
      <alignment/>
    </xf>
    <xf numFmtId="0" fontId="9" fillId="0" borderId="24" xfId="0" applyFont="1" applyBorder="1" applyAlignment="1">
      <alignment horizontal="left"/>
    </xf>
    <xf numFmtId="170" fontId="9" fillId="0" borderId="32" xfId="44" applyNumberFormat="1" applyFont="1" applyBorder="1" applyAlignment="1">
      <alignment horizontal="center"/>
    </xf>
    <xf numFmtId="0" fontId="9" fillId="0" borderId="32" xfId="0" applyFont="1" applyBorder="1" applyAlignment="1">
      <alignment/>
    </xf>
    <xf numFmtId="170" fontId="9" fillId="0" borderId="25" xfId="44" applyNumberFormat="1" applyFont="1" applyBorder="1" applyAlignment="1">
      <alignment horizontal="center"/>
    </xf>
    <xf numFmtId="168" fontId="9" fillId="0" borderId="29" xfId="44" applyNumberFormat="1" applyFont="1" applyBorder="1" applyAlignment="1">
      <alignment horizontal="center"/>
    </xf>
    <xf numFmtId="0" fontId="9" fillId="0" borderId="0" xfId="0" applyFont="1" applyAlignment="1">
      <alignment horizontal="left"/>
    </xf>
    <xf numFmtId="0" fontId="9" fillId="0" borderId="11" xfId="0" applyFont="1" applyBorder="1" applyAlignment="1">
      <alignment horizontal="left"/>
    </xf>
    <xf numFmtId="167" fontId="8" fillId="0" borderId="0" xfId="44" applyNumberFormat="1" applyFont="1" applyFill="1" applyBorder="1" applyAlignment="1">
      <alignment/>
    </xf>
    <xf numFmtId="167" fontId="8" fillId="0" borderId="0" xfId="0" applyNumberFormat="1" applyFont="1" applyFill="1" applyBorder="1" applyAlignment="1">
      <alignment/>
    </xf>
    <xf numFmtId="170" fontId="9" fillId="0" borderId="0" xfId="0" applyNumberFormat="1" applyFont="1" applyBorder="1" applyAlignment="1">
      <alignment horizontal="center"/>
    </xf>
    <xf numFmtId="0" fontId="8" fillId="0" borderId="31" xfId="0" applyFont="1" applyBorder="1" applyAlignment="1">
      <alignment/>
    </xf>
    <xf numFmtId="0" fontId="8" fillId="0" borderId="34" xfId="0" applyFont="1" applyBorder="1" applyAlignment="1">
      <alignment/>
    </xf>
    <xf numFmtId="0" fontId="8" fillId="0" borderId="30" xfId="0" applyFont="1" applyBorder="1" applyAlignment="1">
      <alignment/>
    </xf>
    <xf numFmtId="0" fontId="0" fillId="0" borderId="0" xfId="0" applyAlignment="1">
      <alignment/>
    </xf>
    <xf numFmtId="0" fontId="0" fillId="0" borderId="32" xfId="0" applyBorder="1" applyAlignment="1">
      <alignment/>
    </xf>
    <xf numFmtId="0" fontId="9" fillId="0" borderId="0" xfId="0" applyFont="1" applyAlignment="1">
      <alignment/>
    </xf>
    <xf numFmtId="0" fontId="9" fillId="0" borderId="24" xfId="0" applyFont="1" applyFill="1" applyBorder="1" applyAlignment="1">
      <alignment/>
    </xf>
    <xf numFmtId="170" fontId="9" fillId="0" borderId="24" xfId="44" applyNumberFormat="1" applyFont="1" applyFill="1" applyBorder="1" applyAlignment="1">
      <alignment horizontal="left"/>
    </xf>
    <xf numFmtId="167" fontId="9" fillId="0" borderId="31" xfId="44" applyNumberFormat="1" applyFont="1" applyFill="1" applyBorder="1" applyAlignment="1">
      <alignment/>
    </xf>
    <xf numFmtId="181" fontId="8" fillId="0" borderId="15" xfId="0" applyNumberFormat="1" applyFont="1" applyFill="1" applyBorder="1" applyAlignment="1" applyProtection="1">
      <alignment horizontal="center"/>
      <protection/>
    </xf>
    <xf numFmtId="170" fontId="8" fillId="0" borderId="34" xfId="44" applyNumberFormat="1" applyFont="1" applyBorder="1" applyAlignment="1">
      <alignment horizontal="right"/>
    </xf>
    <xf numFmtId="170" fontId="8" fillId="0" borderId="30" xfId="44" applyNumberFormat="1" applyFont="1" applyBorder="1" applyAlignment="1">
      <alignment horizontal="right"/>
    </xf>
    <xf numFmtId="170" fontId="8" fillId="0" borderId="31" xfId="44" applyNumberFormat="1" applyFont="1" applyBorder="1" applyAlignment="1">
      <alignment horizontal="right"/>
    </xf>
    <xf numFmtId="170" fontId="9" fillId="0" borderId="28" xfId="44" applyNumberFormat="1" applyFont="1" applyBorder="1" applyAlignment="1">
      <alignment horizontal="right"/>
    </xf>
    <xf numFmtId="170" fontId="8" fillId="0" borderId="26" xfId="0" applyNumberFormat="1" applyFont="1" applyBorder="1" applyAlignment="1">
      <alignment horizontal="right"/>
    </xf>
    <xf numFmtId="170" fontId="8" fillId="0" borderId="27" xfId="0" applyNumberFormat="1" applyFont="1" applyBorder="1" applyAlignment="1">
      <alignment horizontal="right"/>
    </xf>
    <xf numFmtId="170" fontId="8" fillId="0" borderId="28" xfId="0" applyNumberFormat="1" applyFont="1" applyBorder="1" applyAlignment="1">
      <alignment horizontal="right"/>
    </xf>
    <xf numFmtId="170" fontId="8" fillId="0" borderId="26" xfId="44" applyNumberFormat="1" applyFont="1" applyBorder="1" applyAlignment="1">
      <alignment horizontal="right"/>
    </xf>
    <xf numFmtId="170" fontId="8" fillId="0" borderId="27" xfId="44" applyNumberFormat="1" applyFont="1" applyBorder="1" applyAlignment="1">
      <alignment horizontal="right"/>
    </xf>
    <xf numFmtId="170" fontId="8" fillId="0" borderId="28" xfId="44" applyNumberFormat="1" applyFont="1" applyBorder="1" applyAlignment="1">
      <alignment horizontal="right"/>
    </xf>
    <xf numFmtId="170" fontId="8" fillId="0" borderId="36" xfId="44" applyNumberFormat="1" applyFont="1" applyBorder="1" applyAlignment="1">
      <alignment horizontal="right"/>
    </xf>
    <xf numFmtId="170" fontId="8" fillId="0" borderId="33" xfId="44" applyNumberFormat="1" applyFont="1" applyBorder="1" applyAlignment="1">
      <alignment horizontal="right"/>
    </xf>
    <xf numFmtId="170" fontId="9" fillId="0" borderId="29" xfId="44" applyNumberFormat="1" applyFont="1" applyBorder="1" applyAlignment="1">
      <alignment horizontal="right"/>
    </xf>
    <xf numFmtId="3" fontId="8" fillId="0" borderId="26" xfId="44" applyNumberFormat="1" applyFont="1" applyBorder="1" applyAlignment="1">
      <alignment horizontal="right"/>
    </xf>
    <xf numFmtId="3" fontId="8" fillId="0" borderId="27" xfId="44" applyNumberFormat="1" applyFont="1" applyBorder="1" applyAlignment="1">
      <alignment horizontal="right"/>
    </xf>
    <xf numFmtId="3" fontId="8" fillId="0" borderId="28" xfId="44" applyNumberFormat="1" applyFont="1" applyBorder="1" applyAlignment="1">
      <alignment horizontal="right"/>
    </xf>
    <xf numFmtId="3" fontId="9" fillId="0" borderId="29" xfId="44" applyNumberFormat="1" applyFont="1" applyBorder="1" applyAlignment="1">
      <alignment horizontal="right"/>
    </xf>
    <xf numFmtId="5" fontId="8" fillId="0" borderId="34" xfId="0" applyNumberFormat="1" applyFont="1" applyBorder="1" applyAlignment="1">
      <alignment horizontal="right"/>
    </xf>
    <xf numFmtId="5" fontId="8" fillId="0" borderId="30" xfId="0" applyNumberFormat="1" applyFont="1" applyBorder="1" applyAlignment="1">
      <alignment horizontal="right"/>
    </xf>
    <xf numFmtId="5" fontId="8" fillId="0" borderId="31" xfId="0" applyNumberFormat="1" applyFont="1" applyBorder="1" applyAlignment="1">
      <alignment horizontal="right"/>
    </xf>
    <xf numFmtId="170" fontId="10" fillId="0" borderId="37" xfId="44" applyNumberFormat="1" applyFont="1" applyBorder="1" applyAlignment="1" applyProtection="1">
      <alignment horizontal="right"/>
      <protection locked="0"/>
    </xf>
    <xf numFmtId="170" fontId="10" fillId="0" borderId="22" xfId="44" applyNumberFormat="1" applyFont="1" applyBorder="1" applyAlignment="1" applyProtection="1">
      <alignment horizontal="right"/>
      <protection locked="0"/>
    </xf>
    <xf numFmtId="170" fontId="10" fillId="0" borderId="23" xfId="44" applyNumberFormat="1" applyFont="1" applyBorder="1" applyAlignment="1" applyProtection="1">
      <alignment horizontal="right"/>
      <protection locked="0"/>
    </xf>
    <xf numFmtId="170" fontId="9" fillId="0" borderId="15" xfId="44" applyNumberFormat="1" applyFont="1" applyBorder="1" applyAlignment="1">
      <alignment horizontal="right"/>
    </xf>
    <xf numFmtId="0" fontId="10" fillId="0" borderId="39"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0" borderId="40" xfId="0" applyFont="1" applyBorder="1" applyAlignment="1" applyProtection="1">
      <alignment horizontal="right"/>
      <protection locked="0"/>
    </xf>
    <xf numFmtId="170" fontId="10" fillId="0" borderId="41" xfId="44" applyNumberFormat="1" applyFont="1" applyBorder="1" applyAlignment="1" applyProtection="1">
      <alignment horizontal="right"/>
      <protection locked="0"/>
    </xf>
    <xf numFmtId="170" fontId="10" fillId="0" borderId="0" xfId="44" applyNumberFormat="1" applyFont="1" applyBorder="1" applyAlignment="1" applyProtection="1">
      <alignment horizontal="right"/>
      <protection locked="0"/>
    </xf>
    <xf numFmtId="170" fontId="10" fillId="0" borderId="38" xfId="44" applyNumberFormat="1" applyFont="1" applyBorder="1" applyAlignment="1" applyProtection="1">
      <alignment horizontal="right"/>
      <protection locked="0"/>
    </xf>
    <xf numFmtId="170" fontId="10" fillId="0" borderId="39" xfId="44" applyNumberFormat="1" applyFont="1" applyBorder="1" applyAlignment="1" applyProtection="1">
      <alignment horizontal="right"/>
      <protection locked="0"/>
    </xf>
    <xf numFmtId="170" fontId="10" fillId="0" borderId="27" xfId="44" applyNumberFormat="1" applyFont="1" applyBorder="1" applyAlignment="1" applyProtection="1">
      <alignment horizontal="right"/>
      <protection locked="0"/>
    </xf>
    <xf numFmtId="170" fontId="10" fillId="0" borderId="40" xfId="44" applyNumberFormat="1" applyFont="1" applyBorder="1" applyAlignment="1" applyProtection="1">
      <alignment horizontal="right"/>
      <protection locked="0"/>
    </xf>
    <xf numFmtId="1" fontId="10" fillId="0" borderId="41" xfId="57" applyNumberFormat="1" applyFont="1" applyBorder="1" applyAlignment="1" applyProtection="1">
      <alignment horizontal="right"/>
      <protection locked="0"/>
    </xf>
    <xf numFmtId="1" fontId="10" fillId="0" borderId="0" xfId="57" applyNumberFormat="1" applyFont="1" applyBorder="1" applyAlignment="1" applyProtection="1">
      <alignment horizontal="right"/>
      <protection locked="0"/>
    </xf>
    <xf numFmtId="1" fontId="10" fillId="0" borderId="38" xfId="57" applyNumberFormat="1" applyFont="1" applyBorder="1" applyAlignment="1" applyProtection="1">
      <alignment horizontal="right"/>
      <protection locked="0"/>
    </xf>
    <xf numFmtId="0" fontId="10" fillId="0" borderId="42" xfId="0" applyFont="1" applyBorder="1" applyAlignment="1" applyProtection="1">
      <alignment horizontal="right"/>
      <protection locked="0"/>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10" fillId="0" borderId="37" xfId="0" applyFont="1" applyBorder="1" applyAlignment="1" applyProtection="1">
      <alignment horizontal="right"/>
      <protection locked="0"/>
    </xf>
    <xf numFmtId="170" fontId="10" fillId="0" borderId="45" xfId="44" applyNumberFormat="1" applyFont="1" applyBorder="1" applyAlignment="1" applyProtection="1">
      <alignment horizontal="right"/>
      <protection locked="0"/>
    </xf>
    <xf numFmtId="0" fontId="10" fillId="0" borderId="22" xfId="0" applyFont="1" applyBorder="1" applyAlignment="1" applyProtection="1">
      <alignment horizontal="right"/>
      <protection locked="0"/>
    </xf>
    <xf numFmtId="170" fontId="10" fillId="0" borderId="30" xfId="44" applyNumberFormat="1" applyFont="1" applyBorder="1" applyAlignment="1" applyProtection="1">
      <alignment horizontal="right"/>
      <protection locked="0"/>
    </xf>
    <xf numFmtId="0" fontId="10" fillId="0" borderId="23" xfId="0" applyFont="1" applyBorder="1" applyAlignment="1" applyProtection="1">
      <alignment horizontal="right"/>
      <protection locked="0"/>
    </xf>
    <xf numFmtId="170" fontId="10" fillId="0" borderId="46" xfId="44" applyNumberFormat="1" applyFont="1" applyBorder="1" applyAlignment="1" applyProtection="1">
      <alignment horizontal="right"/>
      <protection locked="0"/>
    </xf>
    <xf numFmtId="170" fontId="8" fillId="0" borderId="10" xfId="0" applyNumberFormat="1" applyFont="1" applyBorder="1" applyAlignment="1">
      <alignment horizontal="right"/>
    </xf>
    <xf numFmtId="170" fontId="8" fillId="0" borderId="0" xfId="0" applyNumberFormat="1" applyFont="1" applyBorder="1" applyAlignment="1">
      <alignment horizontal="right"/>
    </xf>
    <xf numFmtId="170" fontId="8" fillId="0" borderId="11" xfId="0" applyNumberFormat="1" applyFont="1" applyBorder="1" applyAlignment="1">
      <alignment horizontal="right"/>
    </xf>
    <xf numFmtId="170" fontId="9" fillId="0" borderId="27" xfId="44" applyNumberFormat="1" applyFont="1" applyBorder="1" applyAlignment="1">
      <alignment horizontal="right"/>
    </xf>
    <xf numFmtId="170" fontId="8" fillId="0" borderId="26" xfId="44" applyNumberFormat="1" applyFont="1" applyBorder="1" applyAlignment="1">
      <alignment/>
    </xf>
    <xf numFmtId="170" fontId="8" fillId="0" borderId="27" xfId="44" applyNumberFormat="1" applyFont="1" applyBorder="1" applyAlignment="1">
      <alignment/>
    </xf>
    <xf numFmtId="170" fontId="8" fillId="0" borderId="28" xfId="44" applyNumberFormat="1" applyFont="1" applyBorder="1" applyAlignment="1">
      <alignment/>
    </xf>
    <xf numFmtId="170" fontId="9" fillId="0" borderId="28" xfId="44" applyNumberFormat="1" applyFont="1" applyBorder="1" applyAlignment="1">
      <alignment/>
    </xf>
    <xf numFmtId="170" fontId="8" fillId="0" borderId="36" xfId="0" applyNumberFormat="1" applyFont="1" applyBorder="1" applyAlignment="1">
      <alignment horizontal="right"/>
    </xf>
    <xf numFmtId="170" fontId="8" fillId="0" borderId="33" xfId="0" applyNumberFormat="1" applyFont="1" applyBorder="1" applyAlignment="1">
      <alignment horizontal="right"/>
    </xf>
    <xf numFmtId="170" fontId="9" fillId="0" borderId="33" xfId="0" applyNumberFormat="1" applyFont="1" applyBorder="1" applyAlignment="1">
      <alignment horizontal="right"/>
    </xf>
    <xf numFmtId="170" fontId="9" fillId="0" borderId="29" xfId="0" applyNumberFormat="1" applyFont="1" applyBorder="1" applyAlignment="1">
      <alignment horizontal="right"/>
    </xf>
    <xf numFmtId="170" fontId="9" fillId="0" borderId="28" xfId="0" applyNumberFormat="1" applyFont="1" applyBorder="1" applyAlignment="1">
      <alignment horizontal="right"/>
    </xf>
    <xf numFmtId="6" fontId="8" fillId="0" borderId="34" xfId="0" applyNumberFormat="1" applyFont="1" applyBorder="1" applyAlignment="1">
      <alignment horizontal="right"/>
    </xf>
    <xf numFmtId="6" fontId="8" fillId="0" borderId="30" xfId="0" applyNumberFormat="1" applyFont="1" applyBorder="1" applyAlignment="1">
      <alignment horizontal="right"/>
    </xf>
    <xf numFmtId="6" fontId="8" fillId="0" borderId="31" xfId="0" applyNumberFormat="1" applyFont="1" applyBorder="1" applyAlignment="1">
      <alignment horizontal="right"/>
    </xf>
    <xf numFmtId="6" fontId="8" fillId="0" borderId="35" xfId="0" applyNumberFormat="1" applyFont="1" applyBorder="1" applyAlignment="1">
      <alignment horizontal="right"/>
    </xf>
    <xf numFmtId="6" fontId="8" fillId="0" borderId="36" xfId="0" applyNumberFormat="1" applyFont="1" applyBorder="1" applyAlignment="1">
      <alignment horizontal="right"/>
    </xf>
    <xf numFmtId="6" fontId="8" fillId="0" borderId="33" xfId="0" applyNumberFormat="1" applyFont="1" applyBorder="1" applyAlignment="1">
      <alignment horizontal="right"/>
    </xf>
    <xf numFmtId="170" fontId="8" fillId="0" borderId="34" xfId="0" applyNumberFormat="1" applyFont="1" applyBorder="1" applyAlignment="1">
      <alignment horizontal="right"/>
    </xf>
    <xf numFmtId="172" fontId="8" fillId="0" borderId="30" xfId="44" applyNumberFormat="1" applyFont="1" applyBorder="1" applyAlignment="1">
      <alignment horizontal="right"/>
    </xf>
    <xf numFmtId="172" fontId="8" fillId="0" borderId="30" xfId="0" applyNumberFormat="1" applyFont="1" applyBorder="1" applyAlignment="1">
      <alignment horizontal="right"/>
    </xf>
    <xf numFmtId="172" fontId="8" fillId="0" borderId="31" xfId="0" applyNumberFormat="1" applyFont="1" applyBorder="1" applyAlignment="1">
      <alignment horizontal="right"/>
    </xf>
    <xf numFmtId="8" fontId="9" fillId="0" borderId="29" xfId="0" applyNumberFormat="1" applyFont="1" applyBorder="1" applyAlignment="1">
      <alignment horizontal="right"/>
    </xf>
    <xf numFmtId="6" fontId="9" fillId="0" borderId="29" xfId="0" applyNumberFormat="1" applyFont="1" applyBorder="1" applyAlignment="1">
      <alignment horizontal="right"/>
    </xf>
    <xf numFmtId="172" fontId="8" fillId="0" borderId="27" xfId="44" applyNumberFormat="1" applyFont="1" applyBorder="1" applyAlignment="1">
      <alignment horizontal="right"/>
    </xf>
    <xf numFmtId="172" fontId="8" fillId="0" borderId="27" xfId="0" applyNumberFormat="1" applyFont="1" applyBorder="1" applyAlignment="1">
      <alignment horizontal="right"/>
    </xf>
    <xf numFmtId="172" fontId="8" fillId="0" borderId="28" xfId="0" applyNumberFormat="1" applyFont="1" applyBorder="1" applyAlignment="1">
      <alignment horizontal="right"/>
    </xf>
    <xf numFmtId="8" fontId="9" fillId="0" borderId="28" xfId="0" applyNumberFormat="1" applyFont="1" applyBorder="1" applyAlignment="1">
      <alignment horizontal="right"/>
    </xf>
    <xf numFmtId="8" fontId="8" fillId="0" borderId="34" xfId="44" applyNumberFormat="1" applyFont="1" applyBorder="1" applyAlignment="1">
      <alignment horizontal="right"/>
    </xf>
    <xf numFmtId="8" fontId="8" fillId="0" borderId="30" xfId="44" applyNumberFormat="1" applyFont="1" applyBorder="1" applyAlignment="1">
      <alignment horizontal="right"/>
    </xf>
    <xf numFmtId="8" fontId="8" fillId="0" borderId="31" xfId="44" applyNumberFormat="1" applyFont="1" applyBorder="1" applyAlignment="1">
      <alignment horizontal="right"/>
    </xf>
    <xf numFmtId="8" fontId="8" fillId="0" borderId="26" xfId="44" applyNumberFormat="1" applyFont="1" applyBorder="1" applyAlignment="1">
      <alignment horizontal="right"/>
    </xf>
    <xf numFmtId="8" fontId="8" fillId="0" borderId="27" xfId="44" applyNumberFormat="1" applyFont="1" applyBorder="1" applyAlignment="1">
      <alignment horizontal="right"/>
    </xf>
    <xf numFmtId="8" fontId="8" fillId="0" borderId="28" xfId="44" applyNumberFormat="1" applyFont="1" applyBorder="1" applyAlignment="1">
      <alignment horizontal="right"/>
    </xf>
    <xf numFmtId="2" fontId="10" fillId="0" borderId="47" xfId="0" applyNumberFormat="1" applyFont="1" applyBorder="1" applyAlignment="1" applyProtection="1">
      <alignment horizontal="right"/>
      <protection locked="0"/>
    </xf>
    <xf numFmtId="2" fontId="10" fillId="0" borderId="48" xfId="0" applyNumberFormat="1" applyFont="1" applyBorder="1" applyAlignment="1" applyProtection="1">
      <alignment horizontal="right"/>
      <protection locked="0"/>
    </xf>
    <xf numFmtId="2" fontId="10" fillId="0" borderId="49" xfId="0" applyNumberFormat="1" applyFont="1" applyBorder="1" applyAlignment="1" applyProtection="1">
      <alignment horizontal="right"/>
      <protection locked="0"/>
    </xf>
    <xf numFmtId="2" fontId="9" fillId="0" borderId="0" xfId="42" applyNumberFormat="1" applyFont="1" applyBorder="1" applyAlignment="1">
      <alignment horizontal="center"/>
    </xf>
    <xf numFmtId="0" fontId="8" fillId="0" borderId="16" xfId="0" applyFont="1" applyBorder="1" applyAlignment="1">
      <alignment horizontal="center"/>
    </xf>
    <xf numFmtId="0" fontId="8" fillId="0" borderId="21" xfId="0" applyFont="1" applyBorder="1" applyAlignment="1">
      <alignment horizontal="center"/>
    </xf>
    <xf numFmtId="167" fontId="8" fillId="0" borderId="24" xfId="44" applyNumberFormat="1" applyFont="1" applyFill="1" applyBorder="1" applyAlignment="1">
      <alignment horizontal="center"/>
    </xf>
    <xf numFmtId="167" fontId="8" fillId="0" borderId="32" xfId="44" applyNumberFormat="1" applyFont="1" applyFill="1" applyBorder="1" applyAlignment="1">
      <alignment horizontal="center"/>
    </xf>
    <xf numFmtId="167" fontId="8" fillId="0" borderId="25" xfId="44" applyNumberFormat="1" applyFont="1" applyFill="1" applyBorder="1" applyAlignment="1">
      <alignment horizontal="center"/>
    </xf>
    <xf numFmtId="0" fontId="8" fillId="0" borderId="24" xfId="0" applyFont="1" applyFill="1" applyBorder="1" applyAlignment="1">
      <alignment horizontal="center"/>
    </xf>
    <xf numFmtId="0" fontId="8" fillId="0" borderId="32" xfId="0" applyFont="1" applyFill="1" applyBorder="1" applyAlignment="1">
      <alignment horizontal="center"/>
    </xf>
    <xf numFmtId="0" fontId="8" fillId="0" borderId="25" xfId="0" applyFont="1" applyFill="1" applyBorder="1" applyAlignment="1">
      <alignment horizontal="center"/>
    </xf>
    <xf numFmtId="0" fontId="9" fillId="0" borderId="0" xfId="0" applyFont="1" applyBorder="1" applyAlignment="1">
      <alignment wrapText="1"/>
    </xf>
    <xf numFmtId="0" fontId="0" fillId="0" borderId="0" xfId="0" applyAlignment="1">
      <alignment wrapText="1"/>
    </xf>
    <xf numFmtId="0" fontId="8" fillId="0" borderId="26" xfId="0" applyFont="1" applyFill="1" applyBorder="1" applyAlignment="1">
      <alignment horizontal="center" wrapText="1"/>
    </xf>
    <xf numFmtId="0" fontId="0" fillId="0" borderId="28" xfId="0" applyBorder="1" applyAlignment="1">
      <alignment wrapText="1"/>
    </xf>
    <xf numFmtId="0" fontId="0" fillId="0" borderId="25" xfId="0" applyBorder="1" applyAlignment="1">
      <alignment/>
    </xf>
    <xf numFmtId="0" fontId="9" fillId="0" borderId="0" xfId="0" applyFont="1" applyAlignment="1" applyProtection="1">
      <alignment horizontal="left"/>
      <protection/>
    </xf>
    <xf numFmtId="0" fontId="0" fillId="0" borderId="34" xfId="0" applyFont="1" applyFill="1" applyBorder="1" applyAlignment="1">
      <alignment horizontal="center" wrapText="1"/>
    </xf>
    <xf numFmtId="0" fontId="0" fillId="0" borderId="10" xfId="0" applyBorder="1" applyAlignment="1">
      <alignment/>
    </xf>
    <xf numFmtId="0" fontId="0" fillId="0" borderId="35"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5" fillId="0" borderId="0" xfId="0" applyFont="1" applyAlignment="1">
      <alignment horizontal="center"/>
    </xf>
    <xf numFmtId="172" fontId="8" fillId="0" borderId="34" xfId="0" applyNumberFormat="1" applyFont="1" applyBorder="1" applyAlignment="1">
      <alignment horizontal="center"/>
    </xf>
    <xf numFmtId="172" fontId="8" fillId="0" borderId="35" xfId="0" applyNumberFormat="1" applyFont="1" applyBorder="1" applyAlignment="1">
      <alignment horizontal="center"/>
    </xf>
    <xf numFmtId="172" fontId="8" fillId="0" borderId="31" xfId="0" applyNumberFormat="1" applyFont="1" applyBorder="1" applyAlignment="1">
      <alignment horizontal="center"/>
    </xf>
    <xf numFmtId="172" fontId="8" fillId="0" borderId="33" xfId="0" applyNumberFormat="1" applyFont="1" applyBorder="1" applyAlignment="1">
      <alignment horizontal="center"/>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8" fillId="0" borderId="5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0" xfId="0" applyFont="1" applyFill="1" applyBorder="1" applyAlignment="1">
      <alignment horizontal="center"/>
    </xf>
    <xf numFmtId="0" fontId="8" fillId="0" borderId="0" xfId="0" applyFont="1" applyFill="1" applyBorder="1" applyAlignment="1">
      <alignment horizontal="center"/>
    </xf>
    <xf numFmtId="0" fontId="8" fillId="0" borderId="36" xfId="0" applyFont="1" applyFill="1" applyBorder="1" applyAlignment="1">
      <alignment horizontal="center"/>
    </xf>
    <xf numFmtId="0" fontId="8" fillId="0" borderId="34" xfId="0" applyFont="1" applyFill="1" applyBorder="1" applyAlignment="1">
      <alignment horizontal="center"/>
    </xf>
    <xf numFmtId="0" fontId="8" fillId="0" borderId="10" xfId="0" applyFont="1" applyFill="1" applyBorder="1" applyAlignment="1">
      <alignment horizontal="center"/>
    </xf>
    <xf numFmtId="0" fontId="8" fillId="0" borderId="35" xfId="0" applyFont="1" applyFill="1" applyBorder="1" applyAlignment="1">
      <alignment horizontal="center"/>
    </xf>
    <xf numFmtId="172" fontId="8" fillId="0" borderId="26" xfId="0" applyNumberFormat="1" applyFont="1" applyFill="1" applyBorder="1" applyAlignment="1">
      <alignment horizontal="center" vertical="center"/>
    </xf>
    <xf numFmtId="172" fontId="8" fillId="0" borderId="28"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jpeg" /><Relationship Id="rId3" Type="http://schemas.openxmlformats.org/officeDocument/2006/relationships/image" Target="../media/image14.jpeg" /><Relationship Id="rId4" Type="http://schemas.openxmlformats.org/officeDocument/2006/relationships/image" Target="../media/image15.jpeg" /><Relationship Id="rId5" Type="http://schemas.openxmlformats.org/officeDocument/2006/relationships/image" Target="../media/image13.emf" /><Relationship Id="rId6" Type="http://schemas.openxmlformats.org/officeDocument/2006/relationships/image" Target="../media/image4.emf" /><Relationship Id="rId7" Type="http://schemas.openxmlformats.org/officeDocument/2006/relationships/image" Target="../media/image11.emf" /><Relationship Id="rId8" Type="http://schemas.openxmlformats.org/officeDocument/2006/relationships/image" Target="../media/image2.emf" /><Relationship Id="rId9" Type="http://schemas.openxmlformats.org/officeDocument/2006/relationships/image" Target="../media/image16.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7.emf" /><Relationship Id="rId13"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285750</xdr:colOff>
      <xdr:row>3</xdr:row>
      <xdr:rowOff>809625</xdr:rowOff>
    </xdr:from>
    <xdr:to>
      <xdr:col>9</xdr:col>
      <xdr:colOff>695325</xdr:colOff>
      <xdr:row>3</xdr:row>
      <xdr:rowOff>809625</xdr:rowOff>
    </xdr:to>
    <xdr:pic>
      <xdr:nvPicPr>
        <xdr:cNvPr id="1" name="Picture 5" descr="Extensionlogo5.jpg"/>
        <xdr:cNvPicPr preferRelativeResize="1">
          <a:picLocks noChangeAspect="1"/>
        </xdr:cNvPicPr>
      </xdr:nvPicPr>
      <xdr:blipFill>
        <a:blip r:embed="rId1"/>
        <a:stretch>
          <a:fillRect/>
        </a:stretch>
      </xdr:blipFill>
      <xdr:spPr>
        <a:xfrm>
          <a:off x="7848600" y="2057400"/>
          <a:ext cx="409575" cy="0"/>
        </a:xfrm>
        <a:prstGeom prst="rect">
          <a:avLst/>
        </a:prstGeom>
        <a:noFill/>
        <a:ln w="9525" cmpd="sng">
          <a:noFill/>
        </a:ln>
      </xdr:spPr>
    </xdr:pic>
    <xdr:clientData/>
  </xdr:twoCellAnchor>
  <xdr:twoCellAnchor editAs="oneCell">
    <xdr:from>
      <xdr:col>2</xdr:col>
      <xdr:colOff>47625</xdr:colOff>
      <xdr:row>3</xdr:row>
      <xdr:rowOff>809625</xdr:rowOff>
    </xdr:from>
    <xdr:to>
      <xdr:col>2</xdr:col>
      <xdr:colOff>609600</xdr:colOff>
      <xdr:row>3</xdr:row>
      <xdr:rowOff>809625</xdr:rowOff>
    </xdr:to>
    <xdr:pic>
      <xdr:nvPicPr>
        <xdr:cNvPr id="2" name="Picture 6" descr="Research+logo7.jpg"/>
        <xdr:cNvPicPr preferRelativeResize="1">
          <a:picLocks noChangeAspect="1"/>
        </xdr:cNvPicPr>
      </xdr:nvPicPr>
      <xdr:blipFill>
        <a:blip r:embed="rId2"/>
        <a:stretch>
          <a:fillRect/>
        </a:stretch>
      </xdr:blipFill>
      <xdr:spPr>
        <a:xfrm>
          <a:off x="1743075" y="2057400"/>
          <a:ext cx="561975" cy="0"/>
        </a:xfrm>
        <a:prstGeom prst="rect">
          <a:avLst/>
        </a:prstGeom>
        <a:noFill/>
        <a:ln w="9525" cmpd="sng">
          <a:noFill/>
        </a:ln>
      </xdr:spPr>
    </xdr:pic>
    <xdr:clientData/>
  </xdr:twoCellAnchor>
  <xdr:twoCellAnchor editAs="oneCell">
    <xdr:from>
      <xdr:col>10</xdr:col>
      <xdr:colOff>485775</xdr:colOff>
      <xdr:row>2</xdr:row>
      <xdr:rowOff>104775</xdr:rowOff>
    </xdr:from>
    <xdr:to>
      <xdr:col>11</xdr:col>
      <xdr:colOff>466725</xdr:colOff>
      <xdr:row>3</xdr:row>
      <xdr:rowOff>28575</xdr:rowOff>
    </xdr:to>
    <xdr:pic>
      <xdr:nvPicPr>
        <xdr:cNvPr id="3" name="Picture 8" descr="Extensionlogo5.jpg"/>
        <xdr:cNvPicPr preferRelativeResize="1">
          <a:picLocks noChangeAspect="0"/>
        </xdr:cNvPicPr>
      </xdr:nvPicPr>
      <xdr:blipFill>
        <a:blip r:embed="rId3"/>
        <a:stretch>
          <a:fillRect/>
        </a:stretch>
      </xdr:blipFill>
      <xdr:spPr>
        <a:xfrm>
          <a:off x="8829675" y="428625"/>
          <a:ext cx="762000" cy="847725"/>
        </a:xfrm>
        <a:prstGeom prst="rect">
          <a:avLst/>
        </a:prstGeom>
        <a:noFill/>
        <a:ln w="9525" cmpd="sng">
          <a:noFill/>
        </a:ln>
      </xdr:spPr>
    </xdr:pic>
    <xdr:clientData/>
  </xdr:twoCellAnchor>
  <xdr:twoCellAnchor editAs="oneCell">
    <xdr:from>
      <xdr:col>2</xdr:col>
      <xdr:colOff>209550</xdr:colOff>
      <xdr:row>2</xdr:row>
      <xdr:rowOff>219075</xdr:rowOff>
    </xdr:from>
    <xdr:to>
      <xdr:col>4</xdr:col>
      <xdr:colOff>104775</xdr:colOff>
      <xdr:row>2</xdr:row>
      <xdr:rowOff>800100</xdr:rowOff>
    </xdr:to>
    <xdr:pic>
      <xdr:nvPicPr>
        <xdr:cNvPr id="4" name="Picture 4" descr="AgriLife EXTENSION logo (2-color).jpg"/>
        <xdr:cNvPicPr preferRelativeResize="1">
          <a:picLocks noChangeAspect="0"/>
        </xdr:cNvPicPr>
      </xdr:nvPicPr>
      <xdr:blipFill>
        <a:blip r:embed="rId4"/>
        <a:stretch>
          <a:fillRect/>
        </a:stretch>
      </xdr:blipFill>
      <xdr:spPr>
        <a:xfrm>
          <a:off x="1905000" y="542925"/>
          <a:ext cx="1628775" cy="581025"/>
        </a:xfrm>
        <a:prstGeom prst="rect">
          <a:avLst/>
        </a:prstGeom>
        <a:noFill/>
        <a:ln w="9525" cmpd="sng">
          <a:noFill/>
        </a:ln>
      </xdr:spPr>
    </xdr:pic>
    <xdr:clientData/>
  </xdr:twoCellAnchor>
  <xdr:twoCellAnchor>
    <xdr:from>
      <xdr:col>1</xdr:col>
      <xdr:colOff>1038225</xdr:colOff>
      <xdr:row>109</xdr:row>
      <xdr:rowOff>0</xdr:rowOff>
    </xdr:from>
    <xdr:to>
      <xdr:col>10</xdr:col>
      <xdr:colOff>533400</xdr:colOff>
      <xdr:row>174</xdr:row>
      <xdr:rowOff>19050</xdr:rowOff>
    </xdr:to>
    <xdr:sp>
      <xdr:nvSpPr>
        <xdr:cNvPr id="5" name="TextBox 5"/>
        <xdr:cNvSpPr txBox="1">
          <a:spLocks noChangeArrowheads="1"/>
        </xdr:cNvSpPr>
      </xdr:nvSpPr>
      <xdr:spPr>
        <a:xfrm>
          <a:off x="1190625" y="21478875"/>
          <a:ext cx="7686675"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Disclaimer: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is provided by the Oklahoma Cooperative Extension Service for educational use and is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solely on an “AS IS”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Oklahoma Cooperative Extension Service assumes no liability for the use of these programs.</a:t>
          </a:r>
        </a:p>
      </xdr:txBody>
    </xdr:sp>
    <xdr:clientData/>
  </xdr:twoCellAnchor>
  <xdr:twoCellAnchor editAs="oneCell">
    <xdr:from>
      <xdr:col>14</xdr:col>
      <xdr:colOff>19050</xdr:colOff>
      <xdr:row>43</xdr:row>
      <xdr:rowOff>180975</xdr:rowOff>
    </xdr:from>
    <xdr:to>
      <xdr:col>17</xdr:col>
      <xdr:colOff>219075</xdr:colOff>
      <xdr:row>44</xdr:row>
      <xdr:rowOff>38100</xdr:rowOff>
    </xdr:to>
    <xdr:pic>
      <xdr:nvPicPr>
        <xdr:cNvPr id="6" name="cmdInput1"/>
        <xdr:cNvPicPr preferRelativeResize="1">
          <a:picLocks noChangeAspect="1"/>
        </xdr:cNvPicPr>
      </xdr:nvPicPr>
      <xdr:blipFill>
        <a:blip r:embed="rId5"/>
        <a:stretch>
          <a:fillRect/>
        </a:stretch>
      </xdr:blipFill>
      <xdr:spPr>
        <a:xfrm>
          <a:off x="11277600" y="8982075"/>
          <a:ext cx="2028825" cy="428625"/>
        </a:xfrm>
        <a:prstGeom prst="rect">
          <a:avLst/>
        </a:prstGeom>
        <a:noFill/>
        <a:ln w="9525" cmpd="sng">
          <a:noFill/>
        </a:ln>
      </xdr:spPr>
    </xdr:pic>
    <xdr:clientData fPrintsWithSheet="0"/>
  </xdr:twoCellAnchor>
  <xdr:twoCellAnchor editAs="oneCell">
    <xdr:from>
      <xdr:col>14</xdr:col>
      <xdr:colOff>19050</xdr:colOff>
      <xdr:row>98</xdr:row>
      <xdr:rowOff>180975</xdr:rowOff>
    </xdr:from>
    <xdr:to>
      <xdr:col>17</xdr:col>
      <xdr:colOff>219075</xdr:colOff>
      <xdr:row>101</xdr:row>
      <xdr:rowOff>38100</xdr:rowOff>
    </xdr:to>
    <xdr:pic>
      <xdr:nvPicPr>
        <xdr:cNvPr id="7" name="cmdInput2"/>
        <xdr:cNvPicPr preferRelativeResize="1">
          <a:picLocks noChangeAspect="1"/>
        </xdr:cNvPicPr>
      </xdr:nvPicPr>
      <xdr:blipFill>
        <a:blip r:embed="rId6"/>
        <a:stretch>
          <a:fillRect/>
        </a:stretch>
      </xdr:blipFill>
      <xdr:spPr>
        <a:xfrm>
          <a:off x="11277600" y="19640550"/>
          <a:ext cx="2028825" cy="438150"/>
        </a:xfrm>
        <a:prstGeom prst="rect">
          <a:avLst/>
        </a:prstGeom>
        <a:noFill/>
        <a:ln w="9525" cmpd="sng">
          <a:noFill/>
        </a:ln>
      </xdr:spPr>
    </xdr:pic>
    <xdr:clientData fPrintsWithSheet="0"/>
  </xdr:twoCellAnchor>
  <xdr:twoCellAnchor editAs="oneCell">
    <xdr:from>
      <xdr:col>14</xdr:col>
      <xdr:colOff>19050</xdr:colOff>
      <xdr:row>50</xdr:row>
      <xdr:rowOff>57150</xdr:rowOff>
    </xdr:from>
    <xdr:to>
      <xdr:col>17</xdr:col>
      <xdr:colOff>285750</xdr:colOff>
      <xdr:row>52</xdr:row>
      <xdr:rowOff>114300</xdr:rowOff>
    </xdr:to>
    <xdr:pic>
      <xdr:nvPicPr>
        <xdr:cNvPr id="8" name="cmdQuality2"/>
        <xdr:cNvPicPr preferRelativeResize="1">
          <a:picLocks noChangeAspect="1"/>
        </xdr:cNvPicPr>
      </xdr:nvPicPr>
      <xdr:blipFill>
        <a:blip r:embed="rId7"/>
        <a:stretch>
          <a:fillRect/>
        </a:stretch>
      </xdr:blipFill>
      <xdr:spPr>
        <a:xfrm>
          <a:off x="11277600" y="10572750"/>
          <a:ext cx="2095500" cy="438150"/>
        </a:xfrm>
        <a:prstGeom prst="rect">
          <a:avLst/>
        </a:prstGeom>
        <a:noFill/>
        <a:ln w="9525" cmpd="sng">
          <a:noFill/>
        </a:ln>
      </xdr:spPr>
    </xdr:pic>
    <xdr:clientData fPrintsWithSheet="0"/>
  </xdr:twoCellAnchor>
  <xdr:twoCellAnchor editAs="oneCell">
    <xdr:from>
      <xdr:col>14</xdr:col>
      <xdr:colOff>19050</xdr:colOff>
      <xdr:row>46</xdr:row>
      <xdr:rowOff>47625</xdr:rowOff>
    </xdr:from>
    <xdr:to>
      <xdr:col>17</xdr:col>
      <xdr:colOff>219075</xdr:colOff>
      <xdr:row>48</xdr:row>
      <xdr:rowOff>104775</xdr:rowOff>
    </xdr:to>
    <xdr:pic>
      <xdr:nvPicPr>
        <xdr:cNvPr id="9" name="cmdRepair2"/>
        <xdr:cNvPicPr preferRelativeResize="1">
          <a:picLocks noChangeAspect="1"/>
        </xdr:cNvPicPr>
      </xdr:nvPicPr>
      <xdr:blipFill>
        <a:blip r:embed="rId8"/>
        <a:stretch>
          <a:fillRect/>
        </a:stretch>
      </xdr:blipFill>
      <xdr:spPr>
        <a:xfrm>
          <a:off x="11277600" y="9801225"/>
          <a:ext cx="2028825" cy="438150"/>
        </a:xfrm>
        <a:prstGeom prst="rect">
          <a:avLst/>
        </a:prstGeom>
        <a:noFill/>
        <a:ln w="9525" cmpd="sng">
          <a:noFill/>
        </a:ln>
      </xdr:spPr>
    </xdr:pic>
    <xdr:clientData fPrintsWithSheet="0"/>
  </xdr:twoCellAnchor>
  <xdr:twoCellAnchor editAs="oneCell">
    <xdr:from>
      <xdr:col>14</xdr:col>
      <xdr:colOff>19050</xdr:colOff>
      <xdr:row>106</xdr:row>
      <xdr:rowOff>133350</xdr:rowOff>
    </xdr:from>
    <xdr:to>
      <xdr:col>17</xdr:col>
      <xdr:colOff>285750</xdr:colOff>
      <xdr:row>170</xdr:row>
      <xdr:rowOff>104775</xdr:rowOff>
    </xdr:to>
    <xdr:pic>
      <xdr:nvPicPr>
        <xdr:cNvPr id="10" name="cmdQuality3"/>
        <xdr:cNvPicPr preferRelativeResize="1">
          <a:picLocks noChangeAspect="1"/>
        </xdr:cNvPicPr>
      </xdr:nvPicPr>
      <xdr:blipFill>
        <a:blip r:embed="rId9"/>
        <a:stretch>
          <a:fillRect/>
        </a:stretch>
      </xdr:blipFill>
      <xdr:spPr>
        <a:xfrm>
          <a:off x="11277600" y="21126450"/>
          <a:ext cx="2095500" cy="457200"/>
        </a:xfrm>
        <a:prstGeom prst="rect">
          <a:avLst/>
        </a:prstGeom>
        <a:noFill/>
        <a:ln w="9525" cmpd="sng">
          <a:noFill/>
        </a:ln>
      </xdr:spPr>
    </xdr:pic>
    <xdr:clientData fPrintsWithSheet="0"/>
  </xdr:twoCellAnchor>
  <xdr:twoCellAnchor editAs="oneCell">
    <xdr:from>
      <xdr:col>14</xdr:col>
      <xdr:colOff>19050</xdr:colOff>
      <xdr:row>102</xdr:row>
      <xdr:rowOff>95250</xdr:rowOff>
    </xdr:from>
    <xdr:to>
      <xdr:col>17</xdr:col>
      <xdr:colOff>219075</xdr:colOff>
      <xdr:row>104</xdr:row>
      <xdr:rowOff>133350</xdr:rowOff>
    </xdr:to>
    <xdr:pic>
      <xdr:nvPicPr>
        <xdr:cNvPr id="11" name="cmdOutput2"/>
        <xdr:cNvPicPr preferRelativeResize="1">
          <a:picLocks noChangeAspect="1"/>
        </xdr:cNvPicPr>
      </xdr:nvPicPr>
      <xdr:blipFill>
        <a:blip r:embed="rId10"/>
        <a:stretch>
          <a:fillRect/>
        </a:stretch>
      </xdr:blipFill>
      <xdr:spPr>
        <a:xfrm>
          <a:off x="11277600" y="20326350"/>
          <a:ext cx="2028825" cy="438150"/>
        </a:xfrm>
        <a:prstGeom prst="rect">
          <a:avLst/>
        </a:prstGeom>
        <a:noFill/>
        <a:ln w="9525" cmpd="sng">
          <a:noFill/>
        </a:ln>
      </xdr:spPr>
    </xdr:pic>
    <xdr:clientData fPrintsWithSheet="0"/>
  </xdr:twoCellAnchor>
  <xdr:twoCellAnchor>
    <xdr:from>
      <xdr:col>14</xdr:col>
      <xdr:colOff>28575</xdr:colOff>
      <xdr:row>10</xdr:row>
      <xdr:rowOff>180975</xdr:rowOff>
    </xdr:from>
    <xdr:to>
      <xdr:col>17</xdr:col>
      <xdr:colOff>228600</xdr:colOff>
      <xdr:row>13</xdr:row>
      <xdr:rowOff>47625</xdr:rowOff>
    </xdr:to>
    <xdr:pic>
      <xdr:nvPicPr>
        <xdr:cNvPr id="12" name="cmdOutput1"/>
        <xdr:cNvPicPr preferRelativeResize="1">
          <a:picLocks noChangeAspect="1"/>
        </xdr:cNvPicPr>
      </xdr:nvPicPr>
      <xdr:blipFill>
        <a:blip r:embed="rId11"/>
        <a:stretch>
          <a:fillRect/>
        </a:stretch>
      </xdr:blipFill>
      <xdr:spPr>
        <a:xfrm>
          <a:off x="11287125" y="3524250"/>
          <a:ext cx="2028825" cy="438150"/>
        </a:xfrm>
        <a:prstGeom prst="rect">
          <a:avLst/>
        </a:prstGeom>
        <a:noFill/>
        <a:ln w="9525" cmpd="sng">
          <a:noFill/>
        </a:ln>
      </xdr:spPr>
    </xdr:pic>
    <xdr:clientData fPrintsWithSheet="0"/>
  </xdr:twoCellAnchor>
  <xdr:twoCellAnchor>
    <xdr:from>
      <xdr:col>14</xdr:col>
      <xdr:colOff>19050</xdr:colOff>
      <xdr:row>14</xdr:row>
      <xdr:rowOff>200025</xdr:rowOff>
    </xdr:from>
    <xdr:to>
      <xdr:col>17</xdr:col>
      <xdr:colOff>219075</xdr:colOff>
      <xdr:row>17</xdr:row>
      <xdr:rowOff>257175</xdr:rowOff>
    </xdr:to>
    <xdr:pic>
      <xdr:nvPicPr>
        <xdr:cNvPr id="13" name="cmdRepair1"/>
        <xdr:cNvPicPr preferRelativeResize="1">
          <a:picLocks noChangeAspect="1"/>
        </xdr:cNvPicPr>
      </xdr:nvPicPr>
      <xdr:blipFill>
        <a:blip r:embed="rId12"/>
        <a:stretch>
          <a:fillRect/>
        </a:stretch>
      </xdr:blipFill>
      <xdr:spPr>
        <a:xfrm>
          <a:off x="11277600" y="4314825"/>
          <a:ext cx="2028825" cy="647700"/>
        </a:xfrm>
        <a:prstGeom prst="rect">
          <a:avLst/>
        </a:prstGeom>
        <a:noFill/>
        <a:ln w="9525" cmpd="sng">
          <a:noFill/>
        </a:ln>
      </xdr:spPr>
    </xdr:pic>
    <xdr:clientData fPrintsWithSheet="0"/>
  </xdr:twoCellAnchor>
  <xdr:twoCellAnchor>
    <xdr:from>
      <xdr:col>14</xdr:col>
      <xdr:colOff>19050</xdr:colOff>
      <xdr:row>18</xdr:row>
      <xdr:rowOff>9525</xdr:rowOff>
    </xdr:from>
    <xdr:to>
      <xdr:col>17</xdr:col>
      <xdr:colOff>285750</xdr:colOff>
      <xdr:row>20</xdr:row>
      <xdr:rowOff>66675</xdr:rowOff>
    </xdr:to>
    <xdr:pic>
      <xdr:nvPicPr>
        <xdr:cNvPr id="14" name="cmdQuality1"/>
        <xdr:cNvPicPr preferRelativeResize="1">
          <a:picLocks noChangeAspect="1"/>
        </xdr:cNvPicPr>
      </xdr:nvPicPr>
      <xdr:blipFill>
        <a:blip r:embed="rId13"/>
        <a:stretch>
          <a:fillRect/>
        </a:stretch>
      </xdr:blipFill>
      <xdr:spPr>
        <a:xfrm>
          <a:off x="11277600" y="5343525"/>
          <a:ext cx="2095500" cy="4381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152400</xdr:colOff>
      <xdr:row>12</xdr:row>
      <xdr:rowOff>171450</xdr:rowOff>
    </xdr:from>
    <xdr:to>
      <xdr:col>16</xdr:col>
      <xdr:colOff>352425</xdr:colOff>
      <xdr:row>15</xdr:row>
      <xdr:rowOff>19050</xdr:rowOff>
    </xdr:to>
    <xdr:pic>
      <xdr:nvPicPr>
        <xdr:cNvPr id="1" name="cmdInput3"/>
        <xdr:cNvPicPr preferRelativeResize="1">
          <a:picLocks noChangeAspect="1"/>
        </xdr:cNvPicPr>
      </xdr:nvPicPr>
      <xdr:blipFill>
        <a:blip r:embed="rId1"/>
        <a:stretch>
          <a:fillRect/>
        </a:stretch>
      </xdr:blipFill>
      <xdr:spPr>
        <a:xfrm>
          <a:off x="11277600" y="2486025"/>
          <a:ext cx="2028825" cy="438150"/>
        </a:xfrm>
        <a:prstGeom prst="rect">
          <a:avLst/>
        </a:prstGeom>
        <a:noFill/>
        <a:ln w="9525" cmpd="sng">
          <a:noFill/>
        </a:ln>
      </xdr:spPr>
    </xdr:pic>
    <xdr:clientData fPrintsWithSheet="0"/>
  </xdr:twoCellAnchor>
  <xdr:twoCellAnchor editAs="oneCell">
    <xdr:from>
      <xdr:col>13</xdr:col>
      <xdr:colOff>161925</xdr:colOff>
      <xdr:row>16</xdr:row>
      <xdr:rowOff>123825</xdr:rowOff>
    </xdr:from>
    <xdr:to>
      <xdr:col>16</xdr:col>
      <xdr:colOff>361950</xdr:colOff>
      <xdr:row>18</xdr:row>
      <xdr:rowOff>180975</xdr:rowOff>
    </xdr:to>
    <xdr:pic>
      <xdr:nvPicPr>
        <xdr:cNvPr id="2" name="cmdOutput3"/>
        <xdr:cNvPicPr preferRelativeResize="1">
          <a:picLocks noChangeAspect="1"/>
        </xdr:cNvPicPr>
      </xdr:nvPicPr>
      <xdr:blipFill>
        <a:blip r:embed="rId2"/>
        <a:stretch>
          <a:fillRect/>
        </a:stretch>
      </xdr:blipFill>
      <xdr:spPr>
        <a:xfrm>
          <a:off x="11287125" y="3219450"/>
          <a:ext cx="2028825" cy="438150"/>
        </a:xfrm>
        <a:prstGeom prst="rect">
          <a:avLst/>
        </a:prstGeom>
        <a:noFill/>
        <a:ln w="9525" cmpd="sng">
          <a:noFill/>
        </a:ln>
      </xdr:spPr>
    </xdr:pic>
    <xdr:clientData fPrintsWithSheet="0"/>
  </xdr:twoCellAnchor>
  <xdr:twoCellAnchor editAs="oneCell">
    <xdr:from>
      <xdr:col>13</xdr:col>
      <xdr:colOff>171450</xdr:colOff>
      <xdr:row>20</xdr:row>
      <xdr:rowOff>66675</xdr:rowOff>
    </xdr:from>
    <xdr:to>
      <xdr:col>16</xdr:col>
      <xdr:colOff>371475</xdr:colOff>
      <xdr:row>22</xdr:row>
      <xdr:rowOff>114300</xdr:rowOff>
    </xdr:to>
    <xdr:pic>
      <xdr:nvPicPr>
        <xdr:cNvPr id="3" name="cmdRepair3"/>
        <xdr:cNvPicPr preferRelativeResize="1">
          <a:picLocks noChangeAspect="1"/>
        </xdr:cNvPicPr>
      </xdr:nvPicPr>
      <xdr:blipFill>
        <a:blip r:embed="rId3"/>
        <a:stretch>
          <a:fillRect/>
        </a:stretch>
      </xdr:blipFill>
      <xdr:spPr>
        <a:xfrm>
          <a:off x="11296650" y="3905250"/>
          <a:ext cx="202882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3:M170"/>
  <sheetViews>
    <sheetView showGridLines="0" tabSelected="1" zoomScalePageLayoutView="0" workbookViewId="0" topLeftCell="A1">
      <selection activeCell="A1" sqref="A1"/>
    </sheetView>
  </sheetViews>
  <sheetFormatPr defaultColWidth="9.140625" defaultRowHeight="12.75"/>
  <cols>
    <col min="1" max="1" width="2.28125" style="0" customWidth="1"/>
    <col min="2" max="2" width="23.140625" style="0" customWidth="1"/>
    <col min="3" max="3" width="14.28125" style="0" customWidth="1"/>
    <col min="4" max="6" width="11.7109375" style="0" customWidth="1"/>
    <col min="7" max="7" width="12.7109375" style="0" customWidth="1"/>
    <col min="8" max="8" width="11.7109375" style="0" customWidth="1"/>
    <col min="9" max="9" width="14.140625" style="0" customWidth="1"/>
    <col min="10" max="11" width="11.7109375" style="0" customWidth="1"/>
    <col min="12" max="12" width="13.140625" style="0" customWidth="1"/>
    <col min="13" max="13" width="9.7109375" style="0" customWidth="1"/>
  </cols>
  <sheetData>
    <row r="3" spans="3:12" ht="72.75" customHeight="1">
      <c r="C3" s="245" t="s">
        <v>96</v>
      </c>
      <c r="D3" s="246"/>
      <c r="E3" s="246"/>
      <c r="F3" s="246"/>
      <c r="G3" s="246"/>
      <c r="H3" s="246"/>
      <c r="I3" s="246"/>
      <c r="J3" s="246"/>
      <c r="K3" s="246"/>
      <c r="L3" s="247"/>
    </row>
    <row r="4" spans="3:12" ht="72.75" customHeight="1">
      <c r="C4" s="248"/>
      <c r="D4" s="249"/>
      <c r="E4" s="249"/>
      <c r="F4" s="249"/>
      <c r="G4" s="249"/>
      <c r="H4" s="249"/>
      <c r="I4" s="249"/>
      <c r="J4" s="249"/>
      <c r="K4" s="249"/>
      <c r="L4" s="250"/>
    </row>
    <row r="6" spans="2:13" ht="20.25">
      <c r="B6" s="251" t="s">
        <v>47</v>
      </c>
      <c r="C6" s="251"/>
      <c r="D6" s="251"/>
      <c r="E6" s="251"/>
      <c r="F6" s="251"/>
      <c r="G6" s="251"/>
      <c r="H6" s="251"/>
      <c r="I6" s="251"/>
      <c r="J6" s="251"/>
      <c r="K6" s="251"/>
      <c r="L6" s="251"/>
      <c r="M6" s="251"/>
    </row>
    <row r="7" spans="2:13" ht="15" customHeight="1">
      <c r="B7" s="12"/>
      <c r="C7" s="12"/>
      <c r="D7" s="12"/>
      <c r="E7" s="12"/>
      <c r="F7" s="12"/>
      <c r="G7" s="12"/>
      <c r="H7" s="12"/>
      <c r="I7" s="12"/>
      <c r="J7" s="12"/>
      <c r="K7" s="12"/>
      <c r="L7" s="12"/>
      <c r="M7" s="12"/>
    </row>
    <row r="8" ht="14.25" customHeight="1" thickBot="1"/>
    <row r="9" spans="2:11" ht="15">
      <c r="B9" s="16" t="s">
        <v>6</v>
      </c>
      <c r="C9" s="16"/>
      <c r="D9" s="17">
        <v>100</v>
      </c>
      <c r="E9" s="16"/>
      <c r="F9" s="16" t="s">
        <v>33</v>
      </c>
      <c r="G9" s="16"/>
      <c r="H9" s="16"/>
      <c r="I9" s="16"/>
      <c r="J9" s="16"/>
      <c r="K9" s="18">
        <v>2.5</v>
      </c>
    </row>
    <row r="10" spans="2:11" ht="15">
      <c r="B10" s="16" t="s">
        <v>13</v>
      </c>
      <c r="C10" s="16"/>
      <c r="D10" s="19">
        <v>480</v>
      </c>
      <c r="E10" s="16"/>
      <c r="F10" s="16" t="s">
        <v>14</v>
      </c>
      <c r="G10" s="16"/>
      <c r="H10" s="16"/>
      <c r="I10" s="16"/>
      <c r="J10" s="16"/>
      <c r="K10" s="20">
        <v>15</v>
      </c>
    </row>
    <row r="11" spans="2:11" ht="15">
      <c r="B11" s="16" t="s">
        <v>35</v>
      </c>
      <c r="C11" s="16"/>
      <c r="D11" s="19">
        <v>1250</v>
      </c>
      <c r="E11" s="16"/>
      <c r="F11" s="16" t="s">
        <v>121</v>
      </c>
      <c r="G11" s="16"/>
      <c r="H11" s="16"/>
      <c r="I11" s="16"/>
      <c r="J11" s="16"/>
      <c r="K11" s="20">
        <v>1.5</v>
      </c>
    </row>
    <row r="12" spans="2:11" ht="15">
      <c r="B12" s="16" t="s">
        <v>15</v>
      </c>
      <c r="C12" s="16"/>
      <c r="D12" s="19">
        <v>2</v>
      </c>
      <c r="E12" s="16"/>
      <c r="F12" s="16" t="s">
        <v>72</v>
      </c>
      <c r="G12" s="16"/>
      <c r="H12" s="16"/>
      <c r="I12" s="16"/>
      <c r="J12" s="16"/>
      <c r="K12" s="20">
        <v>17.5</v>
      </c>
    </row>
    <row r="13" spans="2:11" ht="15">
      <c r="B13" s="16" t="s">
        <v>73</v>
      </c>
      <c r="C13" s="16"/>
      <c r="D13" s="21">
        <v>6</v>
      </c>
      <c r="E13" s="16"/>
      <c r="F13" s="16" t="s">
        <v>71</v>
      </c>
      <c r="G13" s="16"/>
      <c r="H13" s="16"/>
      <c r="I13" s="16"/>
      <c r="J13" s="16"/>
      <c r="K13" s="20">
        <v>22.5</v>
      </c>
    </row>
    <row r="14" spans="2:11" ht="15.75" thickBot="1">
      <c r="B14" s="16" t="s">
        <v>34</v>
      </c>
      <c r="C14" s="16"/>
      <c r="D14" s="23">
        <v>1</v>
      </c>
      <c r="E14" s="16"/>
      <c r="F14" s="16" t="s">
        <v>48</v>
      </c>
      <c r="G14" s="16"/>
      <c r="H14" s="16"/>
      <c r="I14" s="16"/>
      <c r="J14" s="16"/>
      <c r="K14" s="22">
        <v>3.5</v>
      </c>
    </row>
    <row r="15" spans="2:11" ht="16.5" thickBot="1">
      <c r="B15" s="16" t="s">
        <v>50</v>
      </c>
      <c r="C15" s="16"/>
      <c r="D15" s="25">
        <f>ROUND(D11*D10/2000/D9,2)</f>
        <v>3</v>
      </c>
      <c r="E15" s="16"/>
      <c r="F15" s="16" t="s">
        <v>49</v>
      </c>
      <c r="G15" s="16"/>
      <c r="H15" s="16"/>
      <c r="I15" s="16"/>
      <c r="J15" s="16"/>
      <c r="K15" s="24">
        <v>325</v>
      </c>
    </row>
    <row r="16" spans="2:11" ht="16.5" thickBot="1">
      <c r="B16" s="16"/>
      <c r="C16" s="16"/>
      <c r="D16" s="230"/>
      <c r="E16" s="16"/>
      <c r="F16" s="16" t="s">
        <v>70</v>
      </c>
      <c r="G16" s="16"/>
      <c r="H16" s="16"/>
      <c r="I16" s="16"/>
      <c r="J16" s="16"/>
      <c r="K16" s="26">
        <v>500</v>
      </c>
    </row>
    <row r="17" ht="13.5" thickBot="1"/>
    <row r="18" spans="2:12" ht="49.5" customHeight="1" thickBot="1">
      <c r="B18" s="27" t="s">
        <v>41</v>
      </c>
      <c r="C18" s="28" t="s">
        <v>21</v>
      </c>
      <c r="D18" s="29" t="s">
        <v>62</v>
      </c>
      <c r="E18" s="30" t="s">
        <v>5</v>
      </c>
      <c r="F18" s="29" t="s">
        <v>8</v>
      </c>
      <c r="G18" s="30" t="s">
        <v>9</v>
      </c>
      <c r="H18" s="31" t="s">
        <v>10</v>
      </c>
      <c r="I18" s="28" t="s">
        <v>11</v>
      </c>
      <c r="J18" s="32" t="s">
        <v>12</v>
      </c>
      <c r="K18" s="29" t="s">
        <v>16</v>
      </c>
      <c r="L18" s="33" t="s">
        <v>107</v>
      </c>
    </row>
    <row r="19" spans="2:12" ht="15">
      <c r="B19" s="34" t="s">
        <v>0</v>
      </c>
      <c r="C19" s="167">
        <v>60000</v>
      </c>
      <c r="D19" s="171">
        <v>10</v>
      </c>
      <c r="E19" s="174">
        <v>8000</v>
      </c>
      <c r="F19" s="177">
        <v>0</v>
      </c>
      <c r="G19" s="180">
        <v>75</v>
      </c>
      <c r="H19" s="183">
        <v>20</v>
      </c>
      <c r="I19" s="186">
        <v>0</v>
      </c>
      <c r="J19" s="187">
        <v>500</v>
      </c>
      <c r="K19" s="171">
        <v>0</v>
      </c>
      <c r="L19" s="227">
        <v>0</v>
      </c>
    </row>
    <row r="20" spans="2:12" ht="15">
      <c r="B20" s="35" t="s">
        <v>1</v>
      </c>
      <c r="C20" s="168">
        <v>0</v>
      </c>
      <c r="D20" s="172">
        <v>0</v>
      </c>
      <c r="E20" s="175">
        <v>0</v>
      </c>
      <c r="F20" s="178">
        <v>0</v>
      </c>
      <c r="G20" s="181">
        <v>0</v>
      </c>
      <c r="H20" s="184">
        <v>0</v>
      </c>
      <c r="I20" s="188">
        <v>0</v>
      </c>
      <c r="J20" s="189">
        <v>0</v>
      </c>
      <c r="K20" s="172">
        <v>0</v>
      </c>
      <c r="L20" s="228">
        <v>0</v>
      </c>
    </row>
    <row r="21" spans="2:12" ht="15">
      <c r="B21" s="35" t="s">
        <v>2</v>
      </c>
      <c r="C21" s="168">
        <v>17000</v>
      </c>
      <c r="D21" s="172">
        <v>10</v>
      </c>
      <c r="E21" s="175">
        <v>2500</v>
      </c>
      <c r="F21" s="178">
        <v>0</v>
      </c>
      <c r="G21" s="181">
        <v>100</v>
      </c>
      <c r="H21" s="184">
        <v>0</v>
      </c>
      <c r="I21" s="188">
        <v>75</v>
      </c>
      <c r="J21" s="189">
        <v>50</v>
      </c>
      <c r="K21" s="172">
        <v>7</v>
      </c>
      <c r="L21" s="228">
        <v>0.57</v>
      </c>
    </row>
    <row r="22" spans="2:12" ht="15">
      <c r="B22" s="35" t="s">
        <v>3</v>
      </c>
      <c r="C22" s="168">
        <v>5000</v>
      </c>
      <c r="D22" s="172">
        <v>10</v>
      </c>
      <c r="E22" s="175">
        <v>500</v>
      </c>
      <c r="F22" s="178">
        <v>0</v>
      </c>
      <c r="G22" s="181">
        <v>100</v>
      </c>
      <c r="H22" s="184">
        <v>0</v>
      </c>
      <c r="I22" s="188">
        <v>75</v>
      </c>
      <c r="J22" s="189">
        <v>25</v>
      </c>
      <c r="K22" s="172">
        <v>10</v>
      </c>
      <c r="L22" s="228">
        <v>0.4</v>
      </c>
    </row>
    <row r="23" spans="2:12" ht="15">
      <c r="B23" s="35" t="s">
        <v>4</v>
      </c>
      <c r="C23" s="168">
        <v>30000</v>
      </c>
      <c r="D23" s="172">
        <v>10</v>
      </c>
      <c r="E23" s="175">
        <v>4000</v>
      </c>
      <c r="F23" s="178">
        <v>0</v>
      </c>
      <c r="G23" s="181">
        <v>100</v>
      </c>
      <c r="H23" s="184">
        <v>0</v>
      </c>
      <c r="I23" s="188">
        <v>75</v>
      </c>
      <c r="J23" s="189">
        <v>75</v>
      </c>
      <c r="K23" s="172">
        <v>12</v>
      </c>
      <c r="L23" s="228">
        <v>0.33</v>
      </c>
    </row>
    <row r="24" spans="2:12" ht="15">
      <c r="B24" s="35" t="s">
        <v>105</v>
      </c>
      <c r="C24" s="168">
        <v>0</v>
      </c>
      <c r="D24" s="172">
        <v>0</v>
      </c>
      <c r="E24" s="175">
        <v>0</v>
      </c>
      <c r="F24" s="178">
        <v>0</v>
      </c>
      <c r="G24" s="181">
        <v>0</v>
      </c>
      <c r="H24" s="184">
        <v>0</v>
      </c>
      <c r="I24" s="188">
        <v>0</v>
      </c>
      <c r="J24" s="189">
        <v>0</v>
      </c>
      <c r="K24" s="172">
        <v>0</v>
      </c>
      <c r="L24" s="228">
        <v>0</v>
      </c>
    </row>
    <row r="25" spans="2:12" ht="15.75" thickBot="1">
      <c r="B25" s="36" t="s">
        <v>105</v>
      </c>
      <c r="C25" s="169">
        <v>0</v>
      </c>
      <c r="D25" s="173">
        <v>0</v>
      </c>
      <c r="E25" s="176">
        <v>0</v>
      </c>
      <c r="F25" s="179">
        <v>0</v>
      </c>
      <c r="G25" s="182">
        <v>0</v>
      </c>
      <c r="H25" s="185">
        <v>0</v>
      </c>
      <c r="I25" s="190">
        <v>0</v>
      </c>
      <c r="J25" s="179">
        <v>0</v>
      </c>
      <c r="K25" s="173">
        <v>0</v>
      </c>
      <c r="L25" s="229">
        <v>0</v>
      </c>
    </row>
    <row r="26" spans="2:12" ht="15">
      <c r="B26" s="35" t="s">
        <v>106</v>
      </c>
      <c r="C26" s="167">
        <v>0</v>
      </c>
      <c r="D26" s="171">
        <v>0</v>
      </c>
      <c r="E26" s="174">
        <v>0</v>
      </c>
      <c r="F26" s="177">
        <v>0</v>
      </c>
      <c r="G26" s="180">
        <v>0</v>
      </c>
      <c r="H26" s="183">
        <v>0</v>
      </c>
      <c r="I26" s="186">
        <v>0</v>
      </c>
      <c r="J26" s="177">
        <v>0</v>
      </c>
      <c r="K26" s="171">
        <v>0</v>
      </c>
      <c r="L26" s="227">
        <v>0</v>
      </c>
    </row>
    <row r="27" spans="2:12" ht="15">
      <c r="B27" s="35" t="s">
        <v>106</v>
      </c>
      <c r="C27" s="168">
        <v>0</v>
      </c>
      <c r="D27" s="172">
        <v>0</v>
      </c>
      <c r="E27" s="175">
        <v>0</v>
      </c>
      <c r="F27" s="178">
        <v>0</v>
      </c>
      <c r="G27" s="181">
        <v>0</v>
      </c>
      <c r="H27" s="184">
        <v>0</v>
      </c>
      <c r="I27" s="188">
        <v>0</v>
      </c>
      <c r="J27" s="178">
        <v>0</v>
      </c>
      <c r="K27" s="172">
        <v>0</v>
      </c>
      <c r="L27" s="228">
        <v>0</v>
      </c>
    </row>
    <row r="28" spans="2:12" ht="15">
      <c r="B28" s="37" t="s">
        <v>51</v>
      </c>
      <c r="C28" s="168">
        <v>5000</v>
      </c>
      <c r="D28" s="172">
        <v>10</v>
      </c>
      <c r="E28" s="175">
        <v>1000</v>
      </c>
      <c r="F28" s="178">
        <v>0</v>
      </c>
      <c r="G28" s="181">
        <v>100</v>
      </c>
      <c r="H28" s="184">
        <v>0</v>
      </c>
      <c r="I28" s="188">
        <v>0</v>
      </c>
      <c r="J28" s="189">
        <v>200</v>
      </c>
      <c r="K28" s="172">
        <v>4</v>
      </c>
      <c r="L28" s="228">
        <v>2.5</v>
      </c>
    </row>
    <row r="29" spans="2:12" ht="15.75" thickBot="1">
      <c r="B29" s="38" t="s">
        <v>25</v>
      </c>
      <c r="C29" s="169">
        <v>25000</v>
      </c>
      <c r="D29" s="173">
        <v>5</v>
      </c>
      <c r="E29" s="176">
        <v>12000</v>
      </c>
      <c r="F29" s="179">
        <v>0</v>
      </c>
      <c r="G29" s="182">
        <v>25</v>
      </c>
      <c r="H29" s="185">
        <v>5</v>
      </c>
      <c r="I29" s="190">
        <v>0</v>
      </c>
      <c r="J29" s="191">
        <v>2000</v>
      </c>
      <c r="K29" s="173">
        <v>0</v>
      </c>
      <c r="L29" s="229">
        <v>0</v>
      </c>
    </row>
    <row r="30" spans="2:11" ht="16.5" thickBot="1">
      <c r="B30" s="39" t="s">
        <v>52</v>
      </c>
      <c r="C30" s="170">
        <f>SUM(C19:C29)</f>
        <v>142000</v>
      </c>
      <c r="D30" s="6"/>
      <c r="E30" s="5"/>
      <c r="F30" s="5"/>
      <c r="G30" s="4"/>
      <c r="H30" s="6"/>
      <c r="I30" s="6"/>
      <c r="J30" s="5"/>
      <c r="K30" s="6"/>
    </row>
    <row r="32" ht="12.75" hidden="1"/>
    <row r="33" spans="1:13" ht="15.75" hidden="1">
      <c r="A33" s="2"/>
      <c r="B33" s="58"/>
      <c r="C33" s="59"/>
      <c r="D33" s="6"/>
      <c r="E33" s="5"/>
      <c r="F33" s="5"/>
      <c r="G33" s="4"/>
      <c r="H33" s="6"/>
      <c r="I33" s="6"/>
      <c r="J33" s="5"/>
      <c r="K33" s="6"/>
      <c r="L33" s="2"/>
      <c r="M33" s="2"/>
    </row>
    <row r="34" spans="1:13" ht="15.75" hidden="1">
      <c r="A34" s="2"/>
      <c r="B34" s="58"/>
      <c r="C34" s="59"/>
      <c r="D34" s="6"/>
      <c r="E34" s="5"/>
      <c r="F34" s="5"/>
      <c r="G34" s="4"/>
      <c r="H34" s="6"/>
      <c r="I34" s="6"/>
      <c r="J34" s="5"/>
      <c r="K34" s="6"/>
      <c r="L34" s="2"/>
      <c r="M34" s="2"/>
    </row>
    <row r="35" spans="1:13" ht="15.75" hidden="1">
      <c r="A35" s="2"/>
      <c r="B35" s="58"/>
      <c r="C35" s="59"/>
      <c r="D35" s="6"/>
      <c r="E35" s="5"/>
      <c r="F35" s="5"/>
      <c r="G35" s="4"/>
      <c r="H35" s="6"/>
      <c r="I35" s="6"/>
      <c r="J35" s="5"/>
      <c r="K35" s="6"/>
      <c r="L35" s="2"/>
      <c r="M35" s="2"/>
    </row>
    <row r="36" spans="1:13" ht="15.75" hidden="1">
      <c r="A36" s="2"/>
      <c r="B36" s="58"/>
      <c r="C36" s="59"/>
      <c r="D36" s="6"/>
      <c r="E36" s="5"/>
      <c r="F36" s="5"/>
      <c r="G36" s="4"/>
      <c r="H36" s="6"/>
      <c r="I36" s="6"/>
      <c r="J36" s="5"/>
      <c r="K36" s="6"/>
      <c r="L36" s="2"/>
      <c r="M36" s="2"/>
    </row>
    <row r="37" spans="1:13" ht="15.75" hidden="1">
      <c r="A37" s="2"/>
      <c r="B37" s="58"/>
      <c r="C37" s="59"/>
      <c r="D37" s="6"/>
      <c r="E37" s="5"/>
      <c r="F37" s="5"/>
      <c r="G37" s="4"/>
      <c r="H37" s="6"/>
      <c r="I37" s="6"/>
      <c r="J37" s="5"/>
      <c r="K37" s="6"/>
      <c r="L37" s="2"/>
      <c r="M37" s="2"/>
    </row>
    <row r="38" spans="1:13" ht="15.75" hidden="1">
      <c r="A38" s="2"/>
      <c r="B38" s="58"/>
      <c r="C38" s="59"/>
      <c r="D38" s="6"/>
      <c r="E38" s="5"/>
      <c r="F38" s="5"/>
      <c r="G38" s="4"/>
      <c r="H38" s="6"/>
      <c r="I38" s="6"/>
      <c r="J38" s="5"/>
      <c r="K38" s="6"/>
      <c r="L38" s="2"/>
      <c r="M38" s="2"/>
    </row>
    <row r="39" spans="1:13" ht="16.5" thickBot="1">
      <c r="A39" s="123"/>
      <c r="B39" s="118"/>
      <c r="C39" s="119"/>
      <c r="D39" s="120"/>
      <c r="E39" s="121"/>
      <c r="F39" s="121"/>
      <c r="G39" s="122"/>
      <c r="H39" s="120"/>
      <c r="I39" s="120"/>
      <c r="J39" s="121"/>
      <c r="K39" s="120"/>
      <c r="L39" s="123"/>
      <c r="M39" s="123"/>
    </row>
    <row r="40" spans="1:13" ht="15.75">
      <c r="A40" s="2"/>
      <c r="B40" s="58"/>
      <c r="C40" s="59"/>
      <c r="D40" s="6"/>
      <c r="E40" s="5"/>
      <c r="F40" s="5"/>
      <c r="G40" s="4"/>
      <c r="H40" s="6"/>
      <c r="I40" s="6"/>
      <c r="J40" s="5"/>
      <c r="K40" s="6"/>
      <c r="L40" s="2"/>
      <c r="M40" s="2"/>
    </row>
    <row r="41" spans="2:5" ht="15" customHeight="1">
      <c r="B41" s="244" t="s">
        <v>108</v>
      </c>
      <c r="C41" s="244"/>
      <c r="D41" s="244"/>
      <c r="E41" s="244"/>
    </row>
    <row r="42" spans="2:5" ht="15" customHeight="1">
      <c r="B42" s="124"/>
      <c r="C42" s="124"/>
      <c r="D42" s="124"/>
      <c r="E42" s="124"/>
    </row>
    <row r="43" spans="2:13" ht="15">
      <c r="B43" s="125"/>
      <c r="C43" s="236" t="s">
        <v>7</v>
      </c>
      <c r="D43" s="237"/>
      <c r="E43" s="237"/>
      <c r="F43" s="237"/>
      <c r="G43" s="238"/>
      <c r="H43" s="233" t="s">
        <v>40</v>
      </c>
      <c r="I43" s="234"/>
      <c r="J43" s="234"/>
      <c r="K43" s="234"/>
      <c r="L43" s="235"/>
      <c r="M43" s="16"/>
    </row>
    <row r="44" spans="2:13" ht="45">
      <c r="B44" s="126" t="s">
        <v>42</v>
      </c>
      <c r="C44" s="43" t="s">
        <v>53</v>
      </c>
      <c r="D44" s="44" t="s">
        <v>55</v>
      </c>
      <c r="E44" s="45" t="s">
        <v>17</v>
      </c>
      <c r="F44" s="46" t="s">
        <v>20</v>
      </c>
      <c r="G44" s="47" t="s">
        <v>39</v>
      </c>
      <c r="H44" s="51" t="s">
        <v>54</v>
      </c>
      <c r="I44" s="47" t="s">
        <v>36</v>
      </c>
      <c r="J44" s="49" t="s">
        <v>37</v>
      </c>
      <c r="K44" s="50" t="s">
        <v>66</v>
      </c>
      <c r="L44" s="44" t="s">
        <v>38</v>
      </c>
      <c r="M44" s="51" t="s">
        <v>19</v>
      </c>
    </row>
    <row r="45" spans="2:13" ht="15">
      <c r="B45" s="52" t="str">
        <f aca="true" t="shared" si="0" ref="B45:B55">B19</f>
        <v>Tractor 1</v>
      </c>
      <c r="C45" s="147">
        <f aca="true" t="shared" si="1" ref="C45:C55">ROUND(IF(D19=0,0,(C19-E19)/D19)*G19/100,0)</f>
        <v>3900</v>
      </c>
      <c r="D45" s="151">
        <f aca="true" t="shared" si="2" ref="D45:D55">ROUND(IF(D19=0,0,(C19+E19)/2*$D$13/100)*G19/100,0)</f>
        <v>1530</v>
      </c>
      <c r="E45" s="154">
        <f>ROUND($D$14*C19/100*G19/100,)</f>
        <v>450</v>
      </c>
      <c r="F45" s="154">
        <f aca="true" t="shared" si="3" ref="F45:F55">ROUND(F19*G19/100,0)</f>
        <v>0</v>
      </c>
      <c r="G45" s="157">
        <f>F45+E45+C45+D45</f>
        <v>5880</v>
      </c>
      <c r="H45" s="160">
        <f aca="true" t="shared" si="4" ref="H45:H55">ROUND(IF(K19=0,0,$D$9/K19*$D$12),0)</f>
        <v>0</v>
      </c>
      <c r="I45" s="164">
        <f aca="true" t="shared" si="5" ref="I45:I55">H45*$K$10</f>
        <v>0</v>
      </c>
      <c r="J45" s="196">
        <f aca="true" t="shared" si="6" ref="J45:J55">ROUND(IF(K19=0,0,IF(L19=0,0.044*I19*$K$9*$D$9/K19*$D$12*1.1,L19*$D$9*$D$12*$K$9*1.1)),0)</f>
        <v>0</v>
      </c>
      <c r="K45" s="192">
        <f aca="true" t="shared" si="7" ref="K45:K55">ROUND(J19*G19/100,0)</f>
        <v>375</v>
      </c>
      <c r="L45" s="154">
        <f>K45+I45+J45</f>
        <v>375</v>
      </c>
      <c r="M45" s="200">
        <f aca="true" t="shared" si="8" ref="M45:M56">L45+G45</f>
        <v>6255</v>
      </c>
    </row>
    <row r="46" spans="2:13" ht="15">
      <c r="B46" s="52" t="str">
        <f t="shared" si="0"/>
        <v>Tractor 2</v>
      </c>
      <c r="C46" s="148">
        <f t="shared" si="1"/>
        <v>0</v>
      </c>
      <c r="D46" s="152">
        <f t="shared" si="2"/>
        <v>0</v>
      </c>
      <c r="E46" s="155">
        <f>ROUND($D$14*C20/100*G20/100,0)</f>
        <v>0</v>
      </c>
      <c r="F46" s="155">
        <f t="shared" si="3"/>
        <v>0</v>
      </c>
      <c r="G46" s="157">
        <f aca="true" t="shared" si="9" ref="G46:G55">F46+E46+C46+D46</f>
        <v>0</v>
      </c>
      <c r="H46" s="161">
        <f t="shared" si="4"/>
        <v>0</v>
      </c>
      <c r="I46" s="165">
        <f t="shared" si="5"/>
        <v>0</v>
      </c>
      <c r="J46" s="197">
        <f t="shared" si="6"/>
        <v>0</v>
      </c>
      <c r="K46" s="193">
        <f t="shared" si="7"/>
        <v>0</v>
      </c>
      <c r="L46" s="155">
        <f aca="true" t="shared" si="10" ref="L46:L55">K46+I46+J46</f>
        <v>0</v>
      </c>
      <c r="M46" s="200">
        <f t="shared" si="8"/>
        <v>0</v>
      </c>
    </row>
    <row r="47" spans="2:13" ht="15">
      <c r="B47" s="52" t="str">
        <f t="shared" si="0"/>
        <v>Mower</v>
      </c>
      <c r="C47" s="148">
        <f t="shared" si="1"/>
        <v>1450</v>
      </c>
      <c r="D47" s="152">
        <f t="shared" si="2"/>
        <v>585</v>
      </c>
      <c r="E47" s="155">
        <f>ROUND($D$14*C21/100*G21/100,)</f>
        <v>170</v>
      </c>
      <c r="F47" s="155">
        <f t="shared" si="3"/>
        <v>0</v>
      </c>
      <c r="G47" s="157">
        <f t="shared" si="9"/>
        <v>2205</v>
      </c>
      <c r="H47" s="161">
        <f t="shared" si="4"/>
        <v>29</v>
      </c>
      <c r="I47" s="165">
        <f t="shared" si="5"/>
        <v>435</v>
      </c>
      <c r="J47" s="197">
        <f t="shared" si="6"/>
        <v>314</v>
      </c>
      <c r="K47" s="193">
        <f t="shared" si="7"/>
        <v>50</v>
      </c>
      <c r="L47" s="155">
        <f t="shared" si="10"/>
        <v>799</v>
      </c>
      <c r="M47" s="200">
        <f t="shared" si="8"/>
        <v>3004</v>
      </c>
    </row>
    <row r="48" spans="2:13" ht="15">
      <c r="B48" s="52" t="str">
        <f t="shared" si="0"/>
        <v>Rake</v>
      </c>
      <c r="C48" s="148">
        <f t="shared" si="1"/>
        <v>450</v>
      </c>
      <c r="D48" s="152">
        <f t="shared" si="2"/>
        <v>165</v>
      </c>
      <c r="E48" s="155">
        <f aca="true" t="shared" si="11" ref="E48:E55">ROUND($D$14*C22/100*G22/100,0)</f>
        <v>50</v>
      </c>
      <c r="F48" s="155">
        <f t="shared" si="3"/>
        <v>0</v>
      </c>
      <c r="G48" s="157">
        <f t="shared" si="9"/>
        <v>665</v>
      </c>
      <c r="H48" s="161">
        <f t="shared" si="4"/>
        <v>20</v>
      </c>
      <c r="I48" s="165">
        <f t="shared" si="5"/>
        <v>300</v>
      </c>
      <c r="J48" s="197">
        <f t="shared" si="6"/>
        <v>220</v>
      </c>
      <c r="K48" s="193">
        <f t="shared" si="7"/>
        <v>25</v>
      </c>
      <c r="L48" s="155">
        <f t="shared" si="10"/>
        <v>545</v>
      </c>
      <c r="M48" s="200">
        <f t="shared" si="8"/>
        <v>1210</v>
      </c>
    </row>
    <row r="49" spans="2:13" ht="15">
      <c r="B49" s="52" t="str">
        <f t="shared" si="0"/>
        <v>Baler</v>
      </c>
      <c r="C49" s="148">
        <f t="shared" si="1"/>
        <v>2600</v>
      </c>
      <c r="D49" s="152">
        <f t="shared" si="2"/>
        <v>1020</v>
      </c>
      <c r="E49" s="155">
        <f t="shared" si="11"/>
        <v>300</v>
      </c>
      <c r="F49" s="155">
        <f t="shared" si="3"/>
        <v>0</v>
      </c>
      <c r="G49" s="157">
        <f t="shared" si="9"/>
        <v>3920</v>
      </c>
      <c r="H49" s="161">
        <f t="shared" si="4"/>
        <v>17</v>
      </c>
      <c r="I49" s="165">
        <f t="shared" si="5"/>
        <v>255</v>
      </c>
      <c r="J49" s="197">
        <f t="shared" si="6"/>
        <v>182</v>
      </c>
      <c r="K49" s="193">
        <f t="shared" si="7"/>
        <v>75</v>
      </c>
      <c r="L49" s="155">
        <f t="shared" si="10"/>
        <v>512</v>
      </c>
      <c r="M49" s="200">
        <f t="shared" si="8"/>
        <v>4432</v>
      </c>
    </row>
    <row r="50" spans="2:13" ht="15">
      <c r="B50" s="52" t="str">
        <f t="shared" si="0"/>
        <v>Other harvest</v>
      </c>
      <c r="C50" s="148">
        <f t="shared" si="1"/>
        <v>0</v>
      </c>
      <c r="D50" s="152">
        <f t="shared" si="2"/>
        <v>0</v>
      </c>
      <c r="E50" s="155">
        <f t="shared" si="11"/>
        <v>0</v>
      </c>
      <c r="F50" s="155">
        <f t="shared" si="3"/>
        <v>0</v>
      </c>
      <c r="G50" s="157">
        <f t="shared" si="9"/>
        <v>0</v>
      </c>
      <c r="H50" s="161">
        <f t="shared" si="4"/>
        <v>0</v>
      </c>
      <c r="I50" s="165">
        <f t="shared" si="5"/>
        <v>0</v>
      </c>
      <c r="J50" s="197">
        <f t="shared" si="6"/>
        <v>0</v>
      </c>
      <c r="K50" s="193">
        <f t="shared" si="7"/>
        <v>0</v>
      </c>
      <c r="L50" s="155">
        <f t="shared" si="10"/>
        <v>0</v>
      </c>
      <c r="M50" s="200">
        <f t="shared" si="8"/>
        <v>0</v>
      </c>
    </row>
    <row r="51" spans="2:13" ht="15">
      <c r="B51" s="55" t="str">
        <f t="shared" si="0"/>
        <v>Other harvest</v>
      </c>
      <c r="C51" s="149">
        <f t="shared" si="1"/>
        <v>0</v>
      </c>
      <c r="D51" s="153">
        <f t="shared" si="2"/>
        <v>0</v>
      </c>
      <c r="E51" s="156">
        <f t="shared" si="11"/>
        <v>0</v>
      </c>
      <c r="F51" s="156">
        <f t="shared" si="3"/>
        <v>0</v>
      </c>
      <c r="G51" s="158">
        <f t="shared" si="9"/>
        <v>0</v>
      </c>
      <c r="H51" s="162">
        <f t="shared" si="4"/>
        <v>0</v>
      </c>
      <c r="I51" s="166">
        <f t="shared" si="5"/>
        <v>0</v>
      </c>
      <c r="J51" s="198">
        <f t="shared" si="6"/>
        <v>0</v>
      </c>
      <c r="K51" s="194">
        <f t="shared" si="7"/>
        <v>0</v>
      </c>
      <c r="L51" s="156">
        <f t="shared" si="10"/>
        <v>0</v>
      </c>
      <c r="M51" s="201">
        <f t="shared" si="8"/>
        <v>0</v>
      </c>
    </row>
    <row r="52" spans="2:13" ht="15">
      <c r="B52" s="52" t="str">
        <f t="shared" si="0"/>
        <v>Other hauling</v>
      </c>
      <c r="C52" s="148">
        <f t="shared" si="1"/>
        <v>0</v>
      </c>
      <c r="D52" s="152">
        <f t="shared" si="2"/>
        <v>0</v>
      </c>
      <c r="E52" s="155">
        <f t="shared" si="11"/>
        <v>0</v>
      </c>
      <c r="F52" s="155">
        <f t="shared" si="3"/>
        <v>0</v>
      </c>
      <c r="G52" s="157">
        <f>F52+E52+C52+D52</f>
        <v>0</v>
      </c>
      <c r="H52" s="161">
        <f t="shared" si="4"/>
        <v>0</v>
      </c>
      <c r="I52" s="165">
        <f t="shared" si="5"/>
        <v>0</v>
      </c>
      <c r="J52" s="197">
        <f t="shared" si="6"/>
        <v>0</v>
      </c>
      <c r="K52" s="193">
        <f t="shared" si="7"/>
        <v>0</v>
      </c>
      <c r="L52" s="155">
        <f>K52+I52+J52</f>
        <v>0</v>
      </c>
      <c r="M52" s="200">
        <f>L52+G52</f>
        <v>0</v>
      </c>
    </row>
    <row r="53" spans="2:13" ht="15">
      <c r="B53" s="52" t="str">
        <f t="shared" si="0"/>
        <v>Other hauling</v>
      </c>
      <c r="C53" s="148">
        <f t="shared" si="1"/>
        <v>0</v>
      </c>
      <c r="D53" s="152">
        <f t="shared" si="2"/>
        <v>0</v>
      </c>
      <c r="E53" s="155">
        <f t="shared" si="11"/>
        <v>0</v>
      </c>
      <c r="F53" s="155">
        <f t="shared" si="3"/>
        <v>0</v>
      </c>
      <c r="G53" s="157">
        <f>F53+E53+C53+D53</f>
        <v>0</v>
      </c>
      <c r="H53" s="161">
        <f t="shared" si="4"/>
        <v>0</v>
      </c>
      <c r="I53" s="165">
        <f t="shared" si="5"/>
        <v>0</v>
      </c>
      <c r="J53" s="197">
        <f t="shared" si="6"/>
        <v>0</v>
      </c>
      <c r="K53" s="193">
        <f t="shared" si="7"/>
        <v>0</v>
      </c>
      <c r="L53" s="155">
        <f>K53+I53+J53</f>
        <v>0</v>
      </c>
      <c r="M53" s="200">
        <f>L53+G53</f>
        <v>0</v>
      </c>
    </row>
    <row r="54" spans="2:13" ht="15">
      <c r="B54" s="52" t="str">
        <f t="shared" si="0"/>
        <v>Trailer</v>
      </c>
      <c r="C54" s="148">
        <f t="shared" si="1"/>
        <v>400</v>
      </c>
      <c r="D54" s="152">
        <f t="shared" si="2"/>
        <v>180</v>
      </c>
      <c r="E54" s="155">
        <f t="shared" si="11"/>
        <v>50</v>
      </c>
      <c r="F54" s="155">
        <f t="shared" si="3"/>
        <v>0</v>
      </c>
      <c r="G54" s="157">
        <f t="shared" si="9"/>
        <v>630</v>
      </c>
      <c r="H54" s="161">
        <f t="shared" si="4"/>
        <v>50</v>
      </c>
      <c r="I54" s="165">
        <f t="shared" si="5"/>
        <v>750</v>
      </c>
      <c r="J54" s="197">
        <f t="shared" si="6"/>
        <v>1375</v>
      </c>
      <c r="K54" s="193">
        <f t="shared" si="7"/>
        <v>200</v>
      </c>
      <c r="L54" s="155">
        <f t="shared" si="10"/>
        <v>2325</v>
      </c>
      <c r="M54" s="200">
        <f t="shared" si="8"/>
        <v>2955</v>
      </c>
    </row>
    <row r="55" spans="2:13" ht="15">
      <c r="B55" s="55" t="str">
        <f t="shared" si="0"/>
        <v>Truck/Hauling</v>
      </c>
      <c r="C55" s="149">
        <f t="shared" si="1"/>
        <v>650</v>
      </c>
      <c r="D55" s="153">
        <f t="shared" si="2"/>
        <v>278</v>
      </c>
      <c r="E55" s="156">
        <f t="shared" si="11"/>
        <v>63</v>
      </c>
      <c r="F55" s="156">
        <f t="shared" si="3"/>
        <v>0</v>
      </c>
      <c r="G55" s="157">
        <f t="shared" si="9"/>
        <v>991</v>
      </c>
      <c r="H55" s="161">
        <f t="shared" si="4"/>
        <v>0</v>
      </c>
      <c r="I55" s="166">
        <f t="shared" si="5"/>
        <v>0</v>
      </c>
      <c r="J55" s="198">
        <f t="shared" si="6"/>
        <v>0</v>
      </c>
      <c r="K55" s="194">
        <f t="shared" si="7"/>
        <v>500</v>
      </c>
      <c r="L55" s="156">
        <f t="shared" si="10"/>
        <v>500</v>
      </c>
      <c r="M55" s="201">
        <f t="shared" si="8"/>
        <v>1491</v>
      </c>
    </row>
    <row r="56" spans="2:13" ht="15.75">
      <c r="B56" s="57" t="s">
        <v>18</v>
      </c>
      <c r="C56" s="150">
        <f aca="true" t="shared" si="12" ref="C56:K56">SUM(C45:C55)</f>
        <v>9450</v>
      </c>
      <c r="D56" s="150">
        <f t="shared" si="12"/>
        <v>3758</v>
      </c>
      <c r="E56" s="150">
        <f t="shared" si="12"/>
        <v>1083</v>
      </c>
      <c r="F56" s="150">
        <f t="shared" si="12"/>
        <v>0</v>
      </c>
      <c r="G56" s="159">
        <f t="shared" si="12"/>
        <v>14291</v>
      </c>
      <c r="H56" s="163">
        <f t="shared" si="12"/>
        <v>116</v>
      </c>
      <c r="I56" s="159">
        <f t="shared" si="12"/>
        <v>1740</v>
      </c>
      <c r="J56" s="199">
        <f t="shared" si="12"/>
        <v>2091</v>
      </c>
      <c r="K56" s="195">
        <f t="shared" si="12"/>
        <v>1225</v>
      </c>
      <c r="L56" s="150">
        <f>SUM(L45:L55)</f>
        <v>5056</v>
      </c>
      <c r="M56" s="202">
        <f t="shared" si="8"/>
        <v>19347</v>
      </c>
    </row>
    <row r="57" spans="2:13" ht="15.75">
      <c r="B57" s="127" t="s">
        <v>65</v>
      </c>
      <c r="C57" s="128"/>
      <c r="D57" s="129"/>
      <c r="E57" s="128"/>
      <c r="F57" s="130"/>
      <c r="G57" s="131">
        <f>+G56/C30</f>
        <v>0.10064084507042254</v>
      </c>
      <c r="H57" s="144" t="s">
        <v>56</v>
      </c>
      <c r="I57" s="60"/>
      <c r="J57" s="61"/>
      <c r="K57" s="62"/>
      <c r="L57" s="63"/>
      <c r="M57" s="203">
        <f>K16</f>
        <v>500</v>
      </c>
    </row>
    <row r="58" spans="2:13" ht="15.75">
      <c r="B58" s="59"/>
      <c r="C58" s="59"/>
      <c r="D58" s="58"/>
      <c r="E58" s="59"/>
      <c r="F58" s="59"/>
      <c r="G58" s="59"/>
      <c r="H58" s="144" t="s">
        <v>122</v>
      </c>
      <c r="I58" s="60"/>
      <c r="J58" s="61"/>
      <c r="K58" s="62"/>
      <c r="L58" s="63"/>
      <c r="M58" s="203">
        <f>ROUND(D10*K11,0)</f>
        <v>720</v>
      </c>
    </row>
    <row r="59" spans="2:13" ht="15.75">
      <c r="B59" s="59"/>
      <c r="C59" s="59"/>
      <c r="D59" s="58"/>
      <c r="E59" s="59"/>
      <c r="F59" s="59"/>
      <c r="G59" s="59"/>
      <c r="H59" s="145" t="s">
        <v>57</v>
      </c>
      <c r="I59" s="64"/>
      <c r="J59" s="65"/>
      <c r="K59" s="62"/>
      <c r="L59" s="66"/>
      <c r="M59" s="204">
        <f>M57+M56+M58</f>
        <v>20567</v>
      </c>
    </row>
    <row r="60" spans="2:13" ht="15.75">
      <c r="B60" s="239" t="s">
        <v>110</v>
      </c>
      <c r="C60" s="240"/>
      <c r="D60" s="58"/>
      <c r="E60" s="59"/>
      <c r="F60" s="59"/>
      <c r="G60" s="59"/>
      <c r="H60" s="134"/>
      <c r="I60" s="40"/>
      <c r="J60" s="135"/>
      <c r="K60" s="72"/>
      <c r="L60" s="40"/>
      <c r="M60" s="136"/>
    </row>
    <row r="61" spans="2:13" ht="15.75">
      <c r="B61" s="240"/>
      <c r="C61" s="240"/>
      <c r="D61" s="58"/>
      <c r="E61" s="59"/>
      <c r="F61" s="59"/>
      <c r="G61" s="59"/>
      <c r="H61" s="16"/>
      <c r="I61" s="16"/>
      <c r="J61" s="16"/>
      <c r="K61" s="16"/>
      <c r="L61" s="16"/>
      <c r="M61" s="16"/>
    </row>
    <row r="62" spans="2:6" ht="15" customHeight="1">
      <c r="B62" s="132"/>
      <c r="C62" s="67"/>
      <c r="D62" s="67"/>
      <c r="E62" s="67"/>
      <c r="F62" s="16"/>
    </row>
    <row r="63" spans="2:6" ht="15" customHeight="1">
      <c r="B63" s="133"/>
      <c r="C63" s="68" t="s">
        <v>22</v>
      </c>
      <c r="D63" s="43" t="s">
        <v>23</v>
      </c>
      <c r="E63" s="42" t="s">
        <v>24</v>
      </c>
      <c r="F63" s="16"/>
    </row>
    <row r="64" spans="2:6" ht="15">
      <c r="B64" s="71" t="str">
        <f aca="true" t="shared" si="13" ref="B64:B74">B19</f>
        <v>Tractor 1</v>
      </c>
      <c r="C64" s="205">
        <f aca="true" t="shared" si="14" ref="C64:C74">G45</f>
        <v>5880</v>
      </c>
      <c r="D64" s="154">
        <f aca="true" t="shared" si="15" ref="D64:D74">ROUND(IF(H19=0,0,(C19-E19)/H19+(C19+E19)/2*$D$13/100+F19+E45/(G19*0.01)),0)</f>
        <v>5240</v>
      </c>
      <c r="E64" s="208">
        <f aca="true" t="shared" si="16" ref="E64:E70">D64-C64</f>
        <v>-640</v>
      </c>
      <c r="F64" s="16"/>
    </row>
    <row r="65" spans="2:6" ht="15">
      <c r="B65" s="52" t="str">
        <f t="shared" si="13"/>
        <v>Tractor 2</v>
      </c>
      <c r="C65" s="206">
        <f t="shared" si="14"/>
        <v>0</v>
      </c>
      <c r="D65" s="155">
        <f t="shared" si="15"/>
        <v>0</v>
      </c>
      <c r="E65" s="209">
        <f t="shared" si="16"/>
        <v>0</v>
      </c>
      <c r="F65" s="16"/>
    </row>
    <row r="66" spans="2:6" ht="15">
      <c r="B66" s="52" t="str">
        <f t="shared" si="13"/>
        <v>Mower</v>
      </c>
      <c r="C66" s="206">
        <f t="shared" si="14"/>
        <v>2205</v>
      </c>
      <c r="D66" s="155">
        <f t="shared" si="15"/>
        <v>0</v>
      </c>
      <c r="E66" s="209">
        <f t="shared" si="16"/>
        <v>-2205</v>
      </c>
      <c r="F66" s="16"/>
    </row>
    <row r="67" spans="2:6" ht="15">
      <c r="B67" s="52" t="str">
        <f t="shared" si="13"/>
        <v>Rake</v>
      </c>
      <c r="C67" s="206">
        <f t="shared" si="14"/>
        <v>665</v>
      </c>
      <c r="D67" s="155">
        <f t="shared" si="15"/>
        <v>0</v>
      </c>
      <c r="E67" s="209">
        <f t="shared" si="16"/>
        <v>-665</v>
      </c>
      <c r="F67" s="16"/>
    </row>
    <row r="68" spans="2:6" ht="15">
      <c r="B68" s="52" t="str">
        <f t="shared" si="13"/>
        <v>Baler</v>
      </c>
      <c r="C68" s="206">
        <f t="shared" si="14"/>
        <v>3920</v>
      </c>
      <c r="D68" s="155">
        <f t="shared" si="15"/>
        <v>0</v>
      </c>
      <c r="E68" s="209">
        <f t="shared" si="16"/>
        <v>-3920</v>
      </c>
      <c r="F68" s="16"/>
    </row>
    <row r="69" spans="2:6" ht="15">
      <c r="B69" s="52" t="str">
        <f t="shared" si="13"/>
        <v>Other harvest</v>
      </c>
      <c r="C69" s="206">
        <f t="shared" si="14"/>
        <v>0</v>
      </c>
      <c r="D69" s="155">
        <f t="shared" si="15"/>
        <v>0</v>
      </c>
      <c r="E69" s="209">
        <f t="shared" si="16"/>
        <v>0</v>
      </c>
      <c r="F69" s="16"/>
    </row>
    <row r="70" spans="2:6" ht="15">
      <c r="B70" s="55" t="str">
        <f t="shared" si="13"/>
        <v>Other harvest</v>
      </c>
      <c r="C70" s="207">
        <f t="shared" si="14"/>
        <v>0</v>
      </c>
      <c r="D70" s="155">
        <f t="shared" si="15"/>
        <v>0</v>
      </c>
      <c r="E70" s="210">
        <f t="shared" si="16"/>
        <v>0</v>
      </c>
      <c r="F70" s="16"/>
    </row>
    <row r="71" spans="2:6" ht="15">
      <c r="B71" s="52" t="str">
        <f t="shared" si="13"/>
        <v>Other hauling</v>
      </c>
      <c r="C71" s="206">
        <f t="shared" si="14"/>
        <v>0</v>
      </c>
      <c r="D71" s="154">
        <f t="shared" si="15"/>
        <v>0</v>
      </c>
      <c r="E71" s="209">
        <f>D71-C71</f>
        <v>0</v>
      </c>
      <c r="F71" s="16"/>
    </row>
    <row r="72" spans="2:13" ht="15">
      <c r="B72" s="52" t="str">
        <f t="shared" si="13"/>
        <v>Other hauling</v>
      </c>
      <c r="C72" s="206">
        <f t="shared" si="14"/>
        <v>0</v>
      </c>
      <c r="D72" s="155">
        <f t="shared" si="15"/>
        <v>0</v>
      </c>
      <c r="E72" s="209">
        <f>D72-C72</f>
        <v>0</v>
      </c>
      <c r="F72" s="16"/>
      <c r="G72" s="16"/>
      <c r="H72" s="16"/>
      <c r="I72" s="16"/>
      <c r="J72" s="16"/>
      <c r="K72" s="16"/>
      <c r="L72" s="16"/>
      <c r="M72" s="16"/>
    </row>
    <row r="73" spans="2:13" ht="15">
      <c r="B73" s="52" t="str">
        <f t="shared" si="13"/>
        <v>Trailer</v>
      </c>
      <c r="C73" s="206">
        <f t="shared" si="14"/>
        <v>630</v>
      </c>
      <c r="D73" s="155">
        <f t="shared" si="15"/>
        <v>0</v>
      </c>
      <c r="E73" s="209">
        <f>D73-C73</f>
        <v>-630</v>
      </c>
      <c r="F73" s="16"/>
      <c r="G73" s="16"/>
      <c r="H73" s="16"/>
      <c r="I73" s="16"/>
      <c r="J73" s="16"/>
      <c r="K73" s="16"/>
      <c r="L73" s="16"/>
      <c r="M73" s="16"/>
    </row>
    <row r="74" spans="2:13" ht="15">
      <c r="B74" s="55" t="str">
        <f t="shared" si="13"/>
        <v>Truck/Hauling</v>
      </c>
      <c r="C74" s="207">
        <f t="shared" si="14"/>
        <v>991</v>
      </c>
      <c r="D74" s="156">
        <f t="shared" si="15"/>
        <v>3962</v>
      </c>
      <c r="E74" s="210">
        <f>D74-C74</f>
        <v>2971</v>
      </c>
      <c r="F74" s="16"/>
      <c r="G74" s="16"/>
      <c r="H74" s="16"/>
      <c r="I74" s="16"/>
      <c r="J74" s="16"/>
      <c r="K74" s="16"/>
      <c r="L74" s="16"/>
      <c r="M74" s="16"/>
    </row>
    <row r="75" spans="3:4" ht="12.75">
      <c r="C75" s="3"/>
      <c r="D75" s="3"/>
    </row>
    <row r="77" spans="2:11" ht="15.75">
      <c r="B77" s="69" t="s">
        <v>109</v>
      </c>
      <c r="C77" s="16"/>
      <c r="D77" s="16"/>
      <c r="E77" s="16"/>
      <c r="F77" s="241" t="s">
        <v>111</v>
      </c>
      <c r="G77" s="241" t="s">
        <v>113</v>
      </c>
      <c r="I77" s="142" t="s">
        <v>112</v>
      </c>
      <c r="J77" s="140"/>
      <c r="K77" s="140"/>
    </row>
    <row r="78" spans="3:12" ht="12.75" customHeight="1">
      <c r="C78" s="16"/>
      <c r="D78" s="16"/>
      <c r="E78" s="70"/>
      <c r="F78" s="242"/>
      <c r="G78" s="242"/>
      <c r="I78" s="140"/>
      <c r="J78" s="140"/>
      <c r="K78" s="236" t="s">
        <v>19</v>
      </c>
      <c r="L78" s="243"/>
    </row>
    <row r="79" spans="2:12" ht="15">
      <c r="B79" s="138" t="s">
        <v>26</v>
      </c>
      <c r="C79" s="14"/>
      <c r="D79" s="14"/>
      <c r="E79" s="14"/>
      <c r="F79" s="211">
        <f>IF(E64&lt;=0,0,E64)+IF(E65&lt;=0,0,E65)+IF(E66&lt;=0,0,E66)+IF(E67&lt;=0,0,E67)+IF(E68&lt;=0,0,E68)+IF(E69&lt;=0,0,E69)+IF(E70&lt;=0,0,E70)+IF(E73&lt;=0,0,E73)+IF(E74&lt;=0,0,E74)</f>
        <v>2971</v>
      </c>
      <c r="G79" s="154">
        <f>F79-IF(E74&lt;=0,0,E74)-IF(E73&lt;=0,0,E73)-IF(E72&lt;=0,0,E72)-IF(E71&lt;=0,0,E71)</f>
        <v>0</v>
      </c>
      <c r="I79" s="16"/>
      <c r="J79" s="16"/>
      <c r="K79" s="241" t="s">
        <v>111</v>
      </c>
      <c r="L79" s="241" t="s">
        <v>113</v>
      </c>
    </row>
    <row r="80" spans="2:12" ht="15.75">
      <c r="B80" s="139" t="s">
        <v>123</v>
      </c>
      <c r="C80" s="140"/>
      <c r="D80" s="140"/>
      <c r="E80" s="140"/>
      <c r="F80" s="212">
        <f>ROUND(F79/$D$10,2)</f>
        <v>6.19</v>
      </c>
      <c r="G80" s="217">
        <f>ROUND(G79/$D$10,2)</f>
        <v>0</v>
      </c>
      <c r="I80" s="69"/>
      <c r="J80" s="16"/>
      <c r="K80" s="242"/>
      <c r="L80" s="242"/>
    </row>
    <row r="81" spans="2:12" ht="15">
      <c r="B81" s="137" t="s">
        <v>29</v>
      </c>
      <c r="C81" s="15"/>
      <c r="D81" s="15"/>
      <c r="E81" s="15"/>
      <c r="F81" s="213">
        <f>K13+F80</f>
        <v>28.69</v>
      </c>
      <c r="G81" s="218">
        <f>K12+G80</f>
        <v>17.5</v>
      </c>
      <c r="I81" s="41" t="s">
        <v>31</v>
      </c>
      <c r="J81" s="48" t="s">
        <v>32</v>
      </c>
      <c r="K81" s="41" t="s">
        <v>27</v>
      </c>
      <c r="L81" s="48" t="s">
        <v>28</v>
      </c>
    </row>
    <row r="82" spans="2:12" ht="15">
      <c r="B82" s="138" t="s">
        <v>44</v>
      </c>
      <c r="C82" s="14"/>
      <c r="D82" s="14"/>
      <c r="E82" s="14"/>
      <c r="F82" s="211">
        <f>M59</f>
        <v>20567</v>
      </c>
      <c r="G82" s="151">
        <f>M59-SUM(M52:M55)</f>
        <v>16121</v>
      </c>
      <c r="I82" s="80">
        <f>'Cost Analysis'!$D$10*0.6</f>
        <v>288</v>
      </c>
      <c r="J82" s="81">
        <f>ROUND(I82*'Cost Analysis'!$D$11/'Cost Analysis'!$D$9/2000,2)</f>
        <v>1.8</v>
      </c>
      <c r="K82" s="221">
        <f>ROUND('Cost Analysis'!$F$82/I82-'Cost Analysis'!$F$81,2)</f>
        <v>42.72</v>
      </c>
      <c r="L82" s="224">
        <f>ROUND('Cost Analysis'!$G$82/I82-'Cost Analysis'!$G$81,2)</f>
        <v>38.48</v>
      </c>
    </row>
    <row r="83" spans="2:12" ht="15">
      <c r="B83" s="139" t="s">
        <v>45</v>
      </c>
      <c r="C83" s="140"/>
      <c r="D83" s="140"/>
      <c r="E83" s="140"/>
      <c r="F83" s="213">
        <f>ROUND(F82/($D$10*$D$11/2000),2)</f>
        <v>68.56</v>
      </c>
      <c r="G83" s="218">
        <f>ROUND(G82/($D$10*$D$11/2000),2)</f>
        <v>53.74</v>
      </c>
      <c r="I83" s="80">
        <f>'Cost Analysis'!$D$10*0.8</f>
        <v>384</v>
      </c>
      <c r="J83" s="81">
        <f>ROUND(I83*'Cost Analysis'!$D$11/'Cost Analysis'!$D$9/2000,2)</f>
        <v>2.4</v>
      </c>
      <c r="K83" s="222">
        <f>ROUND('Cost Analysis'!$F$82/I83-'Cost Analysis'!$F$81,2)</f>
        <v>24.87</v>
      </c>
      <c r="L83" s="225">
        <f>ROUND('Cost Analysis'!$G$82/I83-'Cost Analysis'!$G$81,2)</f>
        <v>24.48</v>
      </c>
    </row>
    <row r="84" spans="2:12" ht="15">
      <c r="B84" s="137" t="s">
        <v>43</v>
      </c>
      <c r="C84" s="15"/>
      <c r="D84" s="15"/>
      <c r="E84" s="15"/>
      <c r="F84" s="214">
        <f>ROUND(F82/$D$10,2)</f>
        <v>42.85</v>
      </c>
      <c r="G84" s="219">
        <f>ROUND(G82/$D$10,2)</f>
        <v>33.59</v>
      </c>
      <c r="I84" s="80">
        <f>'Cost Analysis'!$D$10</f>
        <v>480</v>
      </c>
      <c r="J84" s="81">
        <f>ROUND(I84*'Cost Analysis'!$D$11/'Cost Analysis'!$D$9/2000,2)</f>
        <v>3</v>
      </c>
      <c r="K84" s="222">
        <f>ROUND('Cost Analysis'!$F$82/I84-'Cost Analysis'!$F$81,2)</f>
        <v>14.16</v>
      </c>
      <c r="L84" s="225">
        <f>ROUND('Cost Analysis'!$G$82/I84-'Cost Analysis'!$G$81,2)</f>
        <v>16.09</v>
      </c>
    </row>
    <row r="85" spans="2:12" ht="15.75">
      <c r="B85" s="143" t="s">
        <v>30</v>
      </c>
      <c r="C85" s="141"/>
      <c r="D85" s="141"/>
      <c r="E85" s="141"/>
      <c r="F85" s="215">
        <f>F84-F81</f>
        <v>14.16</v>
      </c>
      <c r="G85" s="220">
        <f>G84-G81</f>
        <v>16.090000000000003</v>
      </c>
      <c r="I85" s="80">
        <f>'Cost Analysis'!$D$10*1.2</f>
        <v>576</v>
      </c>
      <c r="J85" s="81">
        <f>ROUND(I85*'Cost Analysis'!$D$11/'Cost Analysis'!$D$9/2000,2)</f>
        <v>3.6</v>
      </c>
      <c r="K85" s="222">
        <f>ROUND('Cost Analysis'!$F$82/I85-'Cost Analysis'!$F$81,2)</f>
        <v>7.02</v>
      </c>
      <c r="L85" s="225">
        <f>ROUND('Cost Analysis'!$G$82/I85-'Cost Analysis'!$G$81,2)</f>
        <v>10.49</v>
      </c>
    </row>
    <row r="86" spans="2:12" ht="15.75">
      <c r="B86" s="143" t="s">
        <v>46</v>
      </c>
      <c r="C86" s="141"/>
      <c r="D86" s="141"/>
      <c r="E86" s="141"/>
      <c r="F86" s="216">
        <f>F85*$D$10</f>
        <v>6796.8</v>
      </c>
      <c r="G86" s="216">
        <f>G85*$D$10</f>
        <v>7723.200000000002</v>
      </c>
      <c r="I86" s="84">
        <f>'Cost Analysis'!$D$10*1.4</f>
        <v>672</v>
      </c>
      <c r="J86" s="85">
        <f>ROUND(I86*'Cost Analysis'!$D$11/'Cost Analysis'!$D$9/2000,2)</f>
        <v>4.2</v>
      </c>
      <c r="K86" s="223">
        <f>ROUND('Cost Analysis'!$F$82/I86-'Cost Analysis'!$F$81,2)</f>
        <v>1.92</v>
      </c>
      <c r="L86" s="226">
        <f>ROUND('Cost Analysis'!$G$82/I86-'Cost Analysis'!$G$81,2)</f>
        <v>6.49</v>
      </c>
    </row>
    <row r="90" ht="12.75" customHeight="1"/>
    <row r="95" spans="1:13" ht="16.5" thickBot="1">
      <c r="A95" s="123"/>
      <c r="B95" s="118"/>
      <c r="C95" s="119"/>
      <c r="D95" s="120"/>
      <c r="E95" s="121"/>
      <c r="F95" s="121"/>
      <c r="G95" s="122"/>
      <c r="H95" s="120"/>
      <c r="I95" s="120"/>
      <c r="J95" s="121"/>
      <c r="K95" s="120"/>
      <c r="L95" s="123"/>
      <c r="M95" s="123"/>
    </row>
    <row r="97" spans="2:11" ht="15.75">
      <c r="B97" s="69" t="s">
        <v>74</v>
      </c>
      <c r="C97" s="8"/>
      <c r="D97" s="8"/>
      <c r="E97" s="8"/>
      <c r="F97" s="8"/>
      <c r="G97" s="8"/>
      <c r="H97" s="8"/>
      <c r="I97" s="8"/>
      <c r="J97" s="8"/>
      <c r="K97" s="8"/>
    </row>
    <row r="98" spans="2:9" ht="16.5" thickBot="1">
      <c r="B98" s="69"/>
      <c r="C98" s="16"/>
      <c r="D98" s="16"/>
      <c r="E98" s="16"/>
      <c r="F98" s="16"/>
      <c r="G98" s="16"/>
      <c r="H98" s="16"/>
      <c r="I98" s="16"/>
    </row>
    <row r="99" spans="2:9" ht="15.75" thickBot="1">
      <c r="B99" s="16" t="s">
        <v>75</v>
      </c>
      <c r="C99" s="16"/>
      <c r="D99" s="16"/>
      <c r="E99" s="101">
        <v>3</v>
      </c>
      <c r="F99" s="16"/>
      <c r="G99" s="231" t="s">
        <v>87</v>
      </c>
      <c r="H99" s="232"/>
      <c r="I99" s="102" t="s">
        <v>92</v>
      </c>
    </row>
    <row r="100" spans="2:9" ht="15">
      <c r="B100" s="16" t="s">
        <v>76</v>
      </c>
      <c r="C100" s="16"/>
      <c r="D100" s="16"/>
      <c r="E100" s="24">
        <v>30000</v>
      </c>
      <c r="F100" s="16"/>
      <c r="G100" s="103" t="s">
        <v>88</v>
      </c>
      <c r="H100" s="104">
        <v>1</v>
      </c>
      <c r="I100" s="105">
        <v>20000</v>
      </c>
    </row>
    <row r="101" spans="2:9" ht="15">
      <c r="B101" s="16" t="s">
        <v>79</v>
      </c>
      <c r="C101" s="16"/>
      <c r="D101" s="16"/>
      <c r="E101" s="106">
        <v>0</v>
      </c>
      <c r="F101" s="16"/>
      <c r="G101" s="107" t="s">
        <v>2</v>
      </c>
      <c r="H101" s="108">
        <v>2</v>
      </c>
      <c r="I101" s="109">
        <v>4000</v>
      </c>
    </row>
    <row r="102" spans="2:9" ht="15">
      <c r="B102" s="16" t="s">
        <v>78</v>
      </c>
      <c r="C102" s="16"/>
      <c r="D102" s="16"/>
      <c r="E102" s="106">
        <v>20</v>
      </c>
      <c r="F102" s="110"/>
      <c r="G102" s="107" t="s">
        <v>4</v>
      </c>
      <c r="H102" s="111">
        <v>3</v>
      </c>
      <c r="I102" s="109">
        <v>2000</v>
      </c>
    </row>
    <row r="103" spans="2:9" ht="15.75" thickBot="1">
      <c r="B103" s="16" t="s">
        <v>114</v>
      </c>
      <c r="C103" s="16"/>
      <c r="D103" s="16"/>
      <c r="E103" s="112">
        <v>10</v>
      </c>
      <c r="F103" s="16"/>
      <c r="G103" s="107" t="s">
        <v>84</v>
      </c>
      <c r="H103" s="111">
        <v>4</v>
      </c>
      <c r="I103" s="109">
        <v>4000</v>
      </c>
    </row>
    <row r="104" spans="2:9" ht="15.75" thickBot="1">
      <c r="B104" s="16" t="s">
        <v>77</v>
      </c>
      <c r="C104" s="16"/>
      <c r="D104" s="16"/>
      <c r="E104" s="113">
        <f>IF(E99=1,VLOOKUP(E101,C120:D140,2),IF(E99=2,VLOOKUP(E101,E120:F140,2),IF(E99=3,VLOOKUP(E101,G120:H140,2),IF(E99=4,VLOOKUP(E101,I120:J140,2),VLOOKUP(E101,K120:L140,2)))))*E102</f>
        <v>41.4</v>
      </c>
      <c r="F104" s="16"/>
      <c r="G104" s="114" t="s">
        <v>89</v>
      </c>
      <c r="H104" s="115">
        <v>5</v>
      </c>
      <c r="I104" s="116">
        <v>20000</v>
      </c>
    </row>
    <row r="105" spans="2:9" ht="15.75" thickBot="1">
      <c r="B105" s="16" t="s">
        <v>80</v>
      </c>
      <c r="C105" s="16"/>
      <c r="D105" s="16"/>
      <c r="E105" s="117">
        <f>IF(E99=1,VLOOKUP(E102*E103+E101,C145:D165,2)-VLOOKUP(E101,C145:D165,2),IF(E99=2,VLOOKUP(E102*E103+E101,E145:F165,2)-VLOOKUP(E101,E145:F165,2),IF(E99=3,VLOOKUP(E102*E103+E101,G145:H165,2)-VLOOKUP(E101,G145:H165,2),IF(E99=4,VLOOKUP(E102*E103+E101,I145:J165,2)-VLOOKUP(E101,I145:J165,2),VLOOKUP(E102*E103+E101,K145:L165,2)-VLOOKUP(E101,K145:L165,2)))))*E100/E103</f>
        <v>72</v>
      </c>
      <c r="F105" s="16"/>
      <c r="G105" s="16"/>
      <c r="H105" s="16"/>
      <c r="I105" s="16"/>
    </row>
    <row r="106" ht="12.75">
      <c r="E106" s="7"/>
    </row>
    <row r="107" spans="2:5" ht="12.75">
      <c r="B107" s="11">
        <f>IF($E$101+$E$102*$E$103&gt;C170,C168,"")</f>
      </c>
      <c r="E107" s="7"/>
    </row>
    <row r="108" spans="2:5" ht="12.75">
      <c r="B108" s="11">
        <f>IF($E$101+$E$102*$E$103&gt;C170,C169,"")</f>
      </c>
      <c r="E108" s="7"/>
    </row>
    <row r="110" spans="2:5" ht="12.75" hidden="1">
      <c r="B110" s="11">
        <f>IF($E$101+$E$102*$E$103&gt;C172,C171,"")</f>
        <v>0</v>
      </c>
      <c r="E110" s="7"/>
    </row>
    <row r="111" ht="12.75" hidden="1"/>
    <row r="112" ht="12.75" hidden="1"/>
    <row r="113" ht="12.75" hidden="1"/>
    <row r="114" ht="12.75" hidden="1"/>
    <row r="115" ht="12.75" hidden="1">
      <c r="C115" t="s">
        <v>93</v>
      </c>
    </row>
    <row r="116" ht="12.75" hidden="1"/>
    <row r="117" ht="12.75" hidden="1"/>
    <row r="118" spans="4:12" ht="12.75" hidden="1">
      <c r="D118" s="1" t="s">
        <v>81</v>
      </c>
      <c r="F118" s="1" t="s">
        <v>82</v>
      </c>
      <c r="H118" s="1" t="s">
        <v>83</v>
      </c>
      <c r="J118" s="1" t="s">
        <v>84</v>
      </c>
      <c r="L118" s="1" t="s">
        <v>85</v>
      </c>
    </row>
    <row r="119" spans="3:12" ht="12.75" hidden="1">
      <c r="C119" s="1" t="s">
        <v>86</v>
      </c>
      <c r="D119" s="1">
        <v>1</v>
      </c>
      <c r="E119" s="1" t="s">
        <v>86</v>
      </c>
      <c r="F119" s="1">
        <v>2</v>
      </c>
      <c r="G119" s="1" t="s">
        <v>86</v>
      </c>
      <c r="H119" s="1">
        <v>3</v>
      </c>
      <c r="I119" s="1" t="s">
        <v>86</v>
      </c>
      <c r="J119" s="1">
        <v>4</v>
      </c>
      <c r="K119" s="1" t="s">
        <v>86</v>
      </c>
      <c r="L119" s="1">
        <v>5</v>
      </c>
    </row>
    <row r="120" spans="3:12" ht="12.75" hidden="1">
      <c r="C120" s="1">
        <v>0</v>
      </c>
      <c r="D120" s="10">
        <f>(D146-D145)*$E$100/(C121-C120)</f>
        <v>0.207</v>
      </c>
      <c r="E120" s="1">
        <v>0</v>
      </c>
      <c r="F120" s="10">
        <f>(F146-F145)*$E$100/(E121-E120)</f>
        <v>4.485</v>
      </c>
      <c r="G120" s="1">
        <v>0</v>
      </c>
      <c r="H120" s="10">
        <f>(H146-H145)*$E$100/(G121-G120)</f>
        <v>2.07</v>
      </c>
      <c r="I120" s="1">
        <v>0</v>
      </c>
      <c r="J120" s="10">
        <f>(J146-J145)*$E$100/(I121-I120)</f>
        <v>4.185</v>
      </c>
      <c r="K120" s="1">
        <v>0</v>
      </c>
      <c r="L120" s="10">
        <f>(L146-L145)*$E$100/(K121-K120)</f>
        <v>0.207</v>
      </c>
    </row>
    <row r="121" spans="3:12" ht="12.75" hidden="1">
      <c r="C121" s="1">
        <f>C120+1000</f>
        <v>1000</v>
      </c>
      <c r="D121" s="10">
        <f aca="true" t="shared" si="17" ref="D121:D139">(D147-D146)*$E$100/(C122-C121)</f>
        <v>0.627</v>
      </c>
      <c r="E121" s="1">
        <v>200</v>
      </c>
      <c r="F121" s="10">
        <f aca="true" t="shared" si="18" ref="F121:F139">(F147-F146)*$E$100/(E122-E121)</f>
        <v>10.095</v>
      </c>
      <c r="G121" s="1">
        <v>100</v>
      </c>
      <c r="H121" s="10">
        <f aca="true" t="shared" si="19" ref="H121:H139">(H147-H146)*$E$100/(G122-G121)</f>
        <v>5.13</v>
      </c>
      <c r="I121" s="1">
        <v>200</v>
      </c>
      <c r="J121" s="10">
        <f aca="true" t="shared" si="20" ref="J121:J139">(J147-J146)*$E$100/(I122-I121)</f>
        <v>6.839999999999999</v>
      </c>
      <c r="K121" s="1">
        <v>1000</v>
      </c>
      <c r="L121" s="10">
        <f aca="true" t="shared" si="21" ref="L121:L139">(L147-L146)*$E$100/(K122-K121)</f>
        <v>0.627</v>
      </c>
    </row>
    <row r="122" spans="3:12" ht="12.75" hidden="1">
      <c r="C122" s="1">
        <f aca="true" t="shared" si="22" ref="C122:C140">C121+1000</f>
        <v>2000</v>
      </c>
      <c r="D122" s="10">
        <f t="shared" si="17"/>
        <v>1.041</v>
      </c>
      <c r="E122" s="1">
        <f aca="true" t="shared" si="23" ref="E122:E130">200+E121</f>
        <v>400</v>
      </c>
      <c r="F122" s="10">
        <f t="shared" si="18"/>
        <v>14.475000000000001</v>
      </c>
      <c r="G122" s="1">
        <f>100+G121</f>
        <v>200</v>
      </c>
      <c r="H122" s="10">
        <f t="shared" si="19"/>
        <v>7.71</v>
      </c>
      <c r="I122" s="1">
        <f>200+I121</f>
        <v>400</v>
      </c>
      <c r="J122" s="10">
        <f t="shared" si="20"/>
        <v>8.430000000000001</v>
      </c>
      <c r="K122" s="1">
        <f>1000+K121</f>
        <v>2000</v>
      </c>
      <c r="L122" s="10">
        <f t="shared" si="21"/>
        <v>1.041</v>
      </c>
    </row>
    <row r="123" spans="3:12" ht="12.75" hidden="1">
      <c r="C123" s="1">
        <f t="shared" si="22"/>
        <v>3000</v>
      </c>
      <c r="D123" s="10">
        <f t="shared" si="17"/>
        <v>1.4580000000000002</v>
      </c>
      <c r="E123" s="1">
        <f t="shared" si="23"/>
        <v>600</v>
      </c>
      <c r="F123" s="10">
        <f t="shared" si="18"/>
        <v>18.33</v>
      </c>
      <c r="G123" s="1">
        <f aca="true" t="shared" si="24" ref="G123:G132">100+G122</f>
        <v>300</v>
      </c>
      <c r="H123" s="10">
        <f t="shared" si="19"/>
        <v>10.11</v>
      </c>
      <c r="I123" s="1">
        <f aca="true" t="shared" si="25" ref="I123:I130">200+I122</f>
        <v>600</v>
      </c>
      <c r="J123" s="10">
        <f t="shared" si="20"/>
        <v>9.659999999999998</v>
      </c>
      <c r="K123" s="1">
        <f aca="true" t="shared" si="26" ref="K123:K132">1000+K122</f>
        <v>3000</v>
      </c>
      <c r="L123" s="10">
        <f t="shared" si="21"/>
        <v>1.4580000000000002</v>
      </c>
    </row>
    <row r="124" spans="3:12" ht="12.75" hidden="1">
      <c r="C124" s="1">
        <f t="shared" si="22"/>
        <v>4000</v>
      </c>
      <c r="D124" s="10">
        <f t="shared" si="17"/>
        <v>1.875</v>
      </c>
      <c r="E124" s="1">
        <f t="shared" si="23"/>
        <v>800</v>
      </c>
      <c r="F124" s="10">
        <f t="shared" si="18"/>
        <v>21.87</v>
      </c>
      <c r="G124" s="1">
        <f t="shared" si="24"/>
        <v>400</v>
      </c>
      <c r="H124" s="10">
        <f t="shared" si="19"/>
        <v>12.36</v>
      </c>
      <c r="I124" s="1">
        <f t="shared" si="25"/>
        <v>800</v>
      </c>
      <c r="J124" s="10">
        <f t="shared" si="20"/>
        <v>10.665</v>
      </c>
      <c r="K124" s="1">
        <f t="shared" si="26"/>
        <v>4000</v>
      </c>
      <c r="L124" s="10">
        <f t="shared" si="21"/>
        <v>1.875</v>
      </c>
    </row>
    <row r="125" spans="3:12" ht="12.75" hidden="1">
      <c r="C125" s="1">
        <f t="shared" si="22"/>
        <v>5000</v>
      </c>
      <c r="D125" s="10">
        <f t="shared" si="17"/>
        <v>2.292</v>
      </c>
      <c r="E125" s="1">
        <f t="shared" si="23"/>
        <v>1000</v>
      </c>
      <c r="F125" s="10">
        <f t="shared" si="18"/>
        <v>25.16999999999999</v>
      </c>
      <c r="G125" s="1">
        <f t="shared" si="24"/>
        <v>500</v>
      </c>
      <c r="H125" s="10">
        <f t="shared" si="19"/>
        <v>14.519999999999996</v>
      </c>
      <c r="I125" s="1">
        <f t="shared" si="25"/>
        <v>1000</v>
      </c>
      <c r="J125" s="10">
        <f t="shared" si="20"/>
        <v>11.579999999999998</v>
      </c>
      <c r="K125" s="1">
        <f t="shared" si="26"/>
        <v>5000</v>
      </c>
      <c r="L125" s="10">
        <f t="shared" si="21"/>
        <v>2.292</v>
      </c>
    </row>
    <row r="126" spans="3:12" ht="12.75" hidden="1">
      <c r="C126" s="1">
        <f t="shared" si="22"/>
        <v>6000</v>
      </c>
      <c r="D126" s="10">
        <f t="shared" si="17"/>
        <v>2.7089999999999996</v>
      </c>
      <c r="E126" s="1">
        <f t="shared" si="23"/>
        <v>1200</v>
      </c>
      <c r="F126" s="10">
        <f t="shared" si="18"/>
        <v>28.275</v>
      </c>
      <c r="G126" s="1">
        <f t="shared" si="24"/>
        <v>600</v>
      </c>
      <c r="H126" s="10">
        <f t="shared" si="19"/>
        <v>16.62</v>
      </c>
      <c r="I126" s="1">
        <f t="shared" si="25"/>
        <v>1200</v>
      </c>
      <c r="J126" s="10">
        <f t="shared" si="20"/>
        <v>12.360000000000005</v>
      </c>
      <c r="K126" s="1">
        <f t="shared" si="26"/>
        <v>6000</v>
      </c>
      <c r="L126" s="10">
        <f t="shared" si="21"/>
        <v>2.7089999999999996</v>
      </c>
    </row>
    <row r="127" spans="3:12" ht="12.75" hidden="1">
      <c r="C127" s="1">
        <f t="shared" si="22"/>
        <v>7000</v>
      </c>
      <c r="D127" s="10">
        <f t="shared" si="17"/>
        <v>3.123000000000001</v>
      </c>
      <c r="E127" s="1">
        <f t="shared" si="23"/>
        <v>1400</v>
      </c>
      <c r="F127" s="10">
        <f t="shared" si="18"/>
        <v>31.275000000000006</v>
      </c>
      <c r="G127" s="1">
        <f t="shared" si="24"/>
        <v>700</v>
      </c>
      <c r="H127" s="10">
        <f t="shared" si="19"/>
        <v>18.6</v>
      </c>
      <c r="I127" s="1">
        <f t="shared" si="25"/>
        <v>1400</v>
      </c>
      <c r="J127" s="10">
        <f t="shared" si="20"/>
        <v>13.109999999999998</v>
      </c>
      <c r="K127" s="1">
        <f t="shared" si="26"/>
        <v>7000</v>
      </c>
      <c r="L127" s="10">
        <f t="shared" si="21"/>
        <v>3.123000000000001</v>
      </c>
    </row>
    <row r="128" spans="3:12" ht="12.75" hidden="1">
      <c r="C128" s="1">
        <f t="shared" si="22"/>
        <v>8000</v>
      </c>
      <c r="D128" s="10">
        <f t="shared" si="17"/>
        <v>3.5429999999999997</v>
      </c>
      <c r="E128" s="1">
        <f t="shared" si="23"/>
        <v>1600</v>
      </c>
      <c r="F128" s="10">
        <f t="shared" si="18"/>
        <v>34.14000000000001</v>
      </c>
      <c r="G128" s="1">
        <f t="shared" si="24"/>
        <v>800</v>
      </c>
      <c r="H128" s="10">
        <f t="shared" si="19"/>
        <v>20.58</v>
      </c>
      <c r="I128" s="1">
        <f t="shared" si="25"/>
        <v>1600</v>
      </c>
      <c r="J128" s="10">
        <f t="shared" si="20"/>
        <v>13.77</v>
      </c>
      <c r="K128" s="1">
        <f t="shared" si="26"/>
        <v>8000</v>
      </c>
      <c r="L128" s="10">
        <f t="shared" si="21"/>
        <v>3.5429999999999997</v>
      </c>
    </row>
    <row r="129" spans="3:12" ht="12.75" hidden="1">
      <c r="C129" s="1">
        <f t="shared" si="22"/>
        <v>9000</v>
      </c>
      <c r="D129" s="10">
        <f t="shared" si="17"/>
        <v>3.9570000000000003</v>
      </c>
      <c r="E129" s="1">
        <f t="shared" si="23"/>
        <v>1800</v>
      </c>
      <c r="F129" s="10">
        <f t="shared" si="18"/>
        <v>36.9</v>
      </c>
      <c r="G129" s="1">
        <f t="shared" si="24"/>
        <v>900</v>
      </c>
      <c r="H129" s="10">
        <f t="shared" si="19"/>
        <v>22.500000000000004</v>
      </c>
      <c r="I129" s="1">
        <f t="shared" si="25"/>
        <v>1800</v>
      </c>
      <c r="J129" s="10">
        <f t="shared" si="20"/>
        <v>14.399999999999995</v>
      </c>
      <c r="K129" s="1">
        <f t="shared" si="26"/>
        <v>9000</v>
      </c>
      <c r="L129" s="10">
        <f t="shared" si="21"/>
        <v>3.9570000000000003</v>
      </c>
    </row>
    <row r="130" spans="3:12" ht="12.75" hidden="1">
      <c r="C130" s="1">
        <f t="shared" si="22"/>
        <v>10000</v>
      </c>
      <c r="D130" s="10">
        <f t="shared" si="17"/>
        <v>4.373999999999998</v>
      </c>
      <c r="E130" s="1">
        <f t="shared" si="23"/>
        <v>2000</v>
      </c>
      <c r="F130" s="10">
        <f t="shared" si="18"/>
        <v>36.9</v>
      </c>
      <c r="G130" s="1">
        <f t="shared" si="24"/>
        <v>1000</v>
      </c>
      <c r="H130" s="10">
        <f t="shared" si="19"/>
        <v>24.36</v>
      </c>
      <c r="I130" s="1">
        <f t="shared" si="25"/>
        <v>2000</v>
      </c>
      <c r="J130" s="10">
        <f t="shared" si="20"/>
        <v>14.399999999999995</v>
      </c>
      <c r="K130" s="1">
        <f t="shared" si="26"/>
        <v>10000</v>
      </c>
      <c r="L130" s="10">
        <f t="shared" si="21"/>
        <v>4.373999999999998</v>
      </c>
    </row>
    <row r="131" spans="3:12" ht="12.75" hidden="1">
      <c r="C131" s="1">
        <f t="shared" si="22"/>
        <v>11000</v>
      </c>
      <c r="D131" s="10">
        <f t="shared" si="17"/>
        <v>4.791000000000002</v>
      </c>
      <c r="E131" s="1">
        <f aca="true" t="shared" si="27" ref="E131:E140">200+E130</f>
        <v>2200</v>
      </c>
      <c r="F131" s="10">
        <f t="shared" si="18"/>
        <v>36.9</v>
      </c>
      <c r="G131" s="1">
        <f t="shared" si="24"/>
        <v>1100</v>
      </c>
      <c r="H131" s="10">
        <f t="shared" si="19"/>
        <v>26.22000000000001</v>
      </c>
      <c r="I131" s="1">
        <f aca="true" t="shared" si="28" ref="I131:I140">200+I130</f>
        <v>2200</v>
      </c>
      <c r="J131" s="10">
        <f t="shared" si="20"/>
        <v>14.400000000000013</v>
      </c>
      <c r="K131" s="1">
        <f t="shared" si="26"/>
        <v>11000</v>
      </c>
      <c r="L131" s="10">
        <f t="shared" si="21"/>
        <v>4.791000000000002</v>
      </c>
    </row>
    <row r="132" spans="3:12" ht="12.75" hidden="1">
      <c r="C132" s="1">
        <f t="shared" si="22"/>
        <v>12000</v>
      </c>
      <c r="D132" s="10">
        <f t="shared" si="17"/>
        <v>4.791000000000006</v>
      </c>
      <c r="E132" s="1">
        <f t="shared" si="27"/>
        <v>2400</v>
      </c>
      <c r="F132" s="10">
        <f t="shared" si="18"/>
        <v>36.900000000000034</v>
      </c>
      <c r="G132" s="1">
        <f t="shared" si="24"/>
        <v>1200</v>
      </c>
      <c r="H132" s="10">
        <f t="shared" si="19"/>
        <v>26.22000000000001</v>
      </c>
      <c r="I132" s="1">
        <f t="shared" si="28"/>
        <v>2400</v>
      </c>
      <c r="J132" s="10">
        <f t="shared" si="20"/>
        <v>14.400000000000013</v>
      </c>
      <c r="K132" s="1">
        <f t="shared" si="26"/>
        <v>12000</v>
      </c>
      <c r="L132" s="10">
        <f t="shared" si="21"/>
        <v>4.791000000000006</v>
      </c>
    </row>
    <row r="133" spans="3:12" ht="12.75" hidden="1">
      <c r="C133" s="1">
        <f t="shared" si="22"/>
        <v>13000</v>
      </c>
      <c r="D133" s="10">
        <f t="shared" si="17"/>
        <v>4.791000000000012</v>
      </c>
      <c r="E133" s="1">
        <f t="shared" si="27"/>
        <v>2600</v>
      </c>
      <c r="F133" s="10">
        <f t="shared" si="18"/>
        <v>36.899999999999935</v>
      </c>
      <c r="G133" s="1">
        <f aca="true" t="shared" si="29" ref="G133:G140">100+G132</f>
        <v>1300</v>
      </c>
      <c r="H133" s="10">
        <f t="shared" si="19"/>
        <v>26.220000000000045</v>
      </c>
      <c r="I133" s="1">
        <f t="shared" si="28"/>
        <v>2600</v>
      </c>
      <c r="J133" s="10">
        <f t="shared" si="20"/>
        <v>14.399999999999995</v>
      </c>
      <c r="K133" s="1">
        <f aca="true" t="shared" si="30" ref="K133:K140">1000+K132</f>
        <v>13000</v>
      </c>
      <c r="L133" s="10">
        <f t="shared" si="21"/>
        <v>4.791000000000012</v>
      </c>
    </row>
    <row r="134" spans="3:12" ht="12.75" hidden="1">
      <c r="C134" s="1">
        <f t="shared" si="22"/>
        <v>14000</v>
      </c>
      <c r="D134" s="10">
        <f t="shared" si="17"/>
        <v>4.790999999999999</v>
      </c>
      <c r="E134" s="1">
        <f t="shared" si="27"/>
        <v>2800</v>
      </c>
      <c r="F134" s="10">
        <f t="shared" si="18"/>
        <v>36.899999999999935</v>
      </c>
      <c r="G134" s="1">
        <f t="shared" si="29"/>
        <v>1400</v>
      </c>
      <c r="H134" s="10">
        <f t="shared" si="19"/>
        <v>26.220000000000045</v>
      </c>
      <c r="I134" s="1">
        <f t="shared" si="28"/>
        <v>2800</v>
      </c>
      <c r="J134" s="10">
        <f t="shared" si="20"/>
        <v>14.400000000000013</v>
      </c>
      <c r="K134" s="1">
        <f t="shared" si="30"/>
        <v>14000</v>
      </c>
      <c r="L134" s="10">
        <f t="shared" si="21"/>
        <v>4.790999999999999</v>
      </c>
    </row>
    <row r="135" spans="3:12" ht="12.75" hidden="1">
      <c r="C135" s="1">
        <f t="shared" si="22"/>
        <v>15000</v>
      </c>
      <c r="D135" s="10">
        <f t="shared" si="17"/>
        <v>4.790999999999999</v>
      </c>
      <c r="E135" s="1">
        <f t="shared" si="27"/>
        <v>3000</v>
      </c>
      <c r="F135" s="10">
        <f t="shared" si="18"/>
        <v>36.899999999999935</v>
      </c>
      <c r="G135" s="1">
        <f t="shared" si="29"/>
        <v>1500</v>
      </c>
      <c r="H135" s="10">
        <f t="shared" si="19"/>
        <v>26.220000000000045</v>
      </c>
      <c r="I135" s="1">
        <f t="shared" si="28"/>
        <v>3000</v>
      </c>
      <c r="J135" s="10">
        <f t="shared" si="20"/>
        <v>14.400000000000013</v>
      </c>
      <c r="K135" s="1">
        <f t="shared" si="30"/>
        <v>15000</v>
      </c>
      <c r="L135" s="10">
        <f t="shared" si="21"/>
        <v>4.790999999999999</v>
      </c>
    </row>
    <row r="136" spans="3:12" ht="12.75" hidden="1">
      <c r="C136" s="1">
        <f t="shared" si="22"/>
        <v>16000</v>
      </c>
      <c r="D136" s="10">
        <f t="shared" si="17"/>
        <v>4.790999999999999</v>
      </c>
      <c r="E136" s="1">
        <f t="shared" si="27"/>
        <v>3200</v>
      </c>
      <c r="F136" s="10">
        <f t="shared" si="18"/>
        <v>36.899999999999935</v>
      </c>
      <c r="G136" s="1">
        <f t="shared" si="29"/>
        <v>1600</v>
      </c>
      <c r="H136" s="10">
        <f t="shared" si="19"/>
        <v>26.22000000000001</v>
      </c>
      <c r="I136" s="1">
        <f t="shared" si="28"/>
        <v>3200</v>
      </c>
      <c r="J136" s="10">
        <f t="shared" si="20"/>
        <v>14.400000000000013</v>
      </c>
      <c r="K136" s="1">
        <f t="shared" si="30"/>
        <v>16000</v>
      </c>
      <c r="L136" s="10">
        <f t="shared" si="21"/>
        <v>4.790999999999999</v>
      </c>
    </row>
    <row r="137" spans="3:12" ht="12.75" hidden="1">
      <c r="C137" s="1">
        <f t="shared" si="22"/>
        <v>17000</v>
      </c>
      <c r="D137" s="10">
        <f t="shared" si="17"/>
        <v>4.790999999999999</v>
      </c>
      <c r="E137" s="1">
        <f t="shared" si="27"/>
        <v>3400</v>
      </c>
      <c r="F137" s="10">
        <f t="shared" si="18"/>
        <v>36.899999999999935</v>
      </c>
      <c r="G137" s="1">
        <f t="shared" si="29"/>
        <v>1700</v>
      </c>
      <c r="H137" s="10">
        <f t="shared" si="19"/>
        <v>26.220000000000045</v>
      </c>
      <c r="I137" s="1">
        <f t="shared" si="28"/>
        <v>3400</v>
      </c>
      <c r="J137" s="10">
        <f t="shared" si="20"/>
        <v>14.399999999999945</v>
      </c>
      <c r="K137" s="1">
        <f t="shared" si="30"/>
        <v>17000</v>
      </c>
      <c r="L137" s="10">
        <f t="shared" si="21"/>
        <v>4.790999999999999</v>
      </c>
    </row>
    <row r="138" spans="3:12" ht="12.75" hidden="1">
      <c r="C138" s="1">
        <f t="shared" si="22"/>
        <v>18000</v>
      </c>
      <c r="D138" s="10">
        <f t="shared" si="17"/>
        <v>4.790999999999999</v>
      </c>
      <c r="E138" s="1">
        <f t="shared" si="27"/>
        <v>3600</v>
      </c>
      <c r="F138" s="10">
        <f t="shared" si="18"/>
        <v>36.899999999999935</v>
      </c>
      <c r="G138" s="1">
        <f t="shared" si="29"/>
        <v>1800</v>
      </c>
      <c r="H138" s="10">
        <f t="shared" si="19"/>
        <v>26.220000000000045</v>
      </c>
      <c r="I138" s="1">
        <f t="shared" si="28"/>
        <v>3600</v>
      </c>
      <c r="J138" s="10">
        <f t="shared" si="20"/>
        <v>14.400000000000013</v>
      </c>
      <c r="K138" s="1">
        <f t="shared" si="30"/>
        <v>18000</v>
      </c>
      <c r="L138" s="10">
        <f t="shared" si="21"/>
        <v>4.790999999999999</v>
      </c>
    </row>
    <row r="139" spans="3:12" ht="12.75" hidden="1">
      <c r="C139" s="1">
        <f t="shared" si="22"/>
        <v>19000</v>
      </c>
      <c r="D139" s="10">
        <f t="shared" si="17"/>
        <v>4.790999999999999</v>
      </c>
      <c r="E139" s="1">
        <f t="shared" si="27"/>
        <v>3800</v>
      </c>
      <c r="F139" s="10">
        <f t="shared" si="18"/>
        <v>36.899999999999935</v>
      </c>
      <c r="G139" s="1">
        <f t="shared" si="29"/>
        <v>1900</v>
      </c>
      <c r="H139" s="10">
        <f t="shared" si="19"/>
        <v>26.220000000000045</v>
      </c>
      <c r="I139" s="1">
        <f t="shared" si="28"/>
        <v>3800</v>
      </c>
      <c r="J139" s="10">
        <f t="shared" si="20"/>
        <v>14.400000000000013</v>
      </c>
      <c r="K139" s="1">
        <f t="shared" si="30"/>
        <v>19000</v>
      </c>
      <c r="L139" s="10">
        <f t="shared" si="21"/>
        <v>4.790999999999999</v>
      </c>
    </row>
    <row r="140" spans="3:12" ht="12.75" hidden="1">
      <c r="C140" s="1">
        <f t="shared" si="22"/>
        <v>20000</v>
      </c>
      <c r="D140" s="10">
        <f>D139</f>
        <v>4.790999999999999</v>
      </c>
      <c r="E140" s="1">
        <f t="shared" si="27"/>
        <v>4000</v>
      </c>
      <c r="F140" s="10">
        <f>F139</f>
        <v>36.899999999999935</v>
      </c>
      <c r="G140" s="1">
        <f t="shared" si="29"/>
        <v>2000</v>
      </c>
      <c r="H140" s="10">
        <f>H139</f>
        <v>26.220000000000045</v>
      </c>
      <c r="I140" s="1">
        <f t="shared" si="28"/>
        <v>4000</v>
      </c>
      <c r="J140" s="10">
        <f>J139</f>
        <v>14.400000000000013</v>
      </c>
      <c r="K140" s="1">
        <f t="shared" si="30"/>
        <v>20000</v>
      </c>
      <c r="L140" s="10">
        <f>L139</f>
        <v>4.790999999999999</v>
      </c>
    </row>
    <row r="141" ht="12.75" hidden="1"/>
    <row r="142" ht="12.75" hidden="1"/>
    <row r="143" spans="4:12" ht="12.75" hidden="1">
      <c r="D143" s="1" t="s">
        <v>81</v>
      </c>
      <c r="F143" s="1" t="s">
        <v>82</v>
      </c>
      <c r="H143" s="1" t="s">
        <v>83</v>
      </c>
      <c r="J143" s="1" t="s">
        <v>84</v>
      </c>
      <c r="L143" s="1" t="s">
        <v>85</v>
      </c>
    </row>
    <row r="144" spans="3:12" ht="12.75" hidden="1">
      <c r="C144" s="1" t="s">
        <v>86</v>
      </c>
      <c r="D144" s="1">
        <v>1</v>
      </c>
      <c r="E144" s="1" t="s">
        <v>86</v>
      </c>
      <c r="F144" s="1">
        <v>2</v>
      </c>
      <c r="G144" s="1" t="s">
        <v>86</v>
      </c>
      <c r="H144" s="1">
        <v>3</v>
      </c>
      <c r="I144" s="1" t="s">
        <v>86</v>
      </c>
      <c r="J144" s="1">
        <v>4</v>
      </c>
      <c r="K144" s="1" t="s">
        <v>86</v>
      </c>
      <c r="L144" s="1">
        <v>5</v>
      </c>
    </row>
    <row r="145" spans="3:12" ht="12.75" hidden="1">
      <c r="C145" s="1">
        <v>0</v>
      </c>
      <c r="D145" s="1">
        <v>0</v>
      </c>
      <c r="E145" s="1">
        <v>0</v>
      </c>
      <c r="F145" s="1">
        <v>0</v>
      </c>
      <c r="G145" s="1">
        <v>0</v>
      </c>
      <c r="H145" s="1">
        <v>0</v>
      </c>
      <c r="I145" s="1">
        <v>0</v>
      </c>
      <c r="J145" s="1">
        <v>0</v>
      </c>
      <c r="K145" s="1">
        <v>0</v>
      </c>
      <c r="L145" s="1">
        <v>0</v>
      </c>
    </row>
    <row r="146" spans="3:12" ht="12.75" hidden="1">
      <c r="C146" s="1">
        <v>1000</v>
      </c>
      <c r="D146" s="9">
        <v>0.0069</v>
      </c>
      <c r="E146" s="1">
        <v>200</v>
      </c>
      <c r="F146" s="9">
        <v>0.0299</v>
      </c>
      <c r="G146" s="1">
        <v>100</v>
      </c>
      <c r="H146" s="9">
        <v>0.0069</v>
      </c>
      <c r="I146" s="1">
        <v>200</v>
      </c>
      <c r="J146" s="9">
        <v>0.0279</v>
      </c>
      <c r="K146" s="1">
        <v>1000</v>
      </c>
      <c r="L146" s="9">
        <v>0.0069</v>
      </c>
    </row>
    <row r="147" spans="3:12" ht="12.75" hidden="1">
      <c r="C147" s="1">
        <f>1000+C146</f>
        <v>2000</v>
      </c>
      <c r="D147" s="9">
        <v>0.0278</v>
      </c>
      <c r="E147" s="1">
        <f aca="true" t="shared" si="31" ref="E147:E155">200+E146</f>
        <v>400</v>
      </c>
      <c r="F147" s="9">
        <v>0.0972</v>
      </c>
      <c r="G147" s="1">
        <f>100+G146</f>
        <v>200</v>
      </c>
      <c r="H147" s="9">
        <v>0.024</v>
      </c>
      <c r="I147" s="1">
        <f>200+I146</f>
        <v>400</v>
      </c>
      <c r="J147" s="9">
        <v>0.0735</v>
      </c>
      <c r="K147" s="1">
        <f>1000+K146</f>
        <v>2000</v>
      </c>
      <c r="L147" s="9">
        <v>0.0278</v>
      </c>
    </row>
    <row r="148" spans="3:12" ht="12.75" hidden="1">
      <c r="C148" s="1">
        <f aca="true" t="shared" si="32" ref="C148:C165">1000+C147</f>
        <v>3000</v>
      </c>
      <c r="D148" s="9">
        <v>0.0625</v>
      </c>
      <c r="E148" s="1">
        <f t="shared" si="31"/>
        <v>600</v>
      </c>
      <c r="F148" s="9">
        <v>0.1937</v>
      </c>
      <c r="G148" s="1">
        <f aca="true" t="shared" si="33" ref="G148:G165">100+G147</f>
        <v>300</v>
      </c>
      <c r="H148" s="9">
        <v>0.0497</v>
      </c>
      <c r="I148" s="1">
        <f aca="true" t="shared" si="34" ref="I148:I165">200+I147</f>
        <v>600</v>
      </c>
      <c r="J148" s="9">
        <v>0.1297</v>
      </c>
      <c r="K148" s="1">
        <f aca="true" t="shared" si="35" ref="K148:K165">1000+K147</f>
        <v>3000</v>
      </c>
      <c r="L148" s="9">
        <v>0.0625</v>
      </c>
    </row>
    <row r="149" spans="3:12" ht="12.75" hidden="1">
      <c r="C149" s="1">
        <f t="shared" si="32"/>
        <v>4000</v>
      </c>
      <c r="D149" s="9">
        <v>0.1111</v>
      </c>
      <c r="E149" s="1">
        <f t="shared" si="31"/>
        <v>800</v>
      </c>
      <c r="F149" s="9">
        <v>0.3159</v>
      </c>
      <c r="G149" s="1">
        <f t="shared" si="33"/>
        <v>400</v>
      </c>
      <c r="H149" s="9">
        <v>0.0834</v>
      </c>
      <c r="I149" s="1">
        <f t="shared" si="34"/>
        <v>800</v>
      </c>
      <c r="J149" s="9">
        <v>0.1941</v>
      </c>
      <c r="K149" s="1">
        <f t="shared" si="35"/>
        <v>4000</v>
      </c>
      <c r="L149" s="9">
        <v>0.1111</v>
      </c>
    </row>
    <row r="150" spans="3:12" ht="12.75" hidden="1">
      <c r="C150" s="1">
        <f t="shared" si="32"/>
        <v>5000</v>
      </c>
      <c r="D150" s="9">
        <v>0.1736</v>
      </c>
      <c r="E150" s="1">
        <f t="shared" si="31"/>
        <v>1000</v>
      </c>
      <c r="F150" s="9">
        <v>0.4617</v>
      </c>
      <c r="G150" s="1">
        <f t="shared" si="33"/>
        <v>500</v>
      </c>
      <c r="H150" s="9">
        <v>0.1246</v>
      </c>
      <c r="I150" s="1">
        <f t="shared" si="34"/>
        <v>1000</v>
      </c>
      <c r="J150" s="9">
        <v>0.2652</v>
      </c>
      <c r="K150" s="1">
        <f t="shared" si="35"/>
        <v>5000</v>
      </c>
      <c r="L150" s="9">
        <v>0.1736</v>
      </c>
    </row>
    <row r="151" spans="3:12" ht="12.75" hidden="1">
      <c r="C151" s="1">
        <f t="shared" si="32"/>
        <v>6000</v>
      </c>
      <c r="D151" s="9">
        <v>0.25</v>
      </c>
      <c r="E151" s="1">
        <f t="shared" si="31"/>
        <v>1200</v>
      </c>
      <c r="F151" s="9">
        <v>0.6295</v>
      </c>
      <c r="G151" s="1">
        <f t="shared" si="33"/>
        <v>600</v>
      </c>
      <c r="H151" s="9">
        <v>0.173</v>
      </c>
      <c r="I151" s="1">
        <f t="shared" si="34"/>
        <v>1200</v>
      </c>
      <c r="J151" s="9">
        <v>0.3424</v>
      </c>
      <c r="K151" s="1">
        <f t="shared" si="35"/>
        <v>6000</v>
      </c>
      <c r="L151" s="9">
        <v>0.25</v>
      </c>
    </row>
    <row r="152" spans="3:12" ht="12.75" hidden="1">
      <c r="C152" s="1">
        <f t="shared" si="32"/>
        <v>7000</v>
      </c>
      <c r="D152" s="9">
        <v>0.3403</v>
      </c>
      <c r="E152" s="1">
        <f t="shared" si="31"/>
        <v>1400</v>
      </c>
      <c r="F152" s="9">
        <v>0.818</v>
      </c>
      <c r="G152" s="1">
        <f t="shared" si="33"/>
        <v>700</v>
      </c>
      <c r="H152" s="9">
        <v>0.2284</v>
      </c>
      <c r="I152" s="1">
        <f t="shared" si="34"/>
        <v>1400</v>
      </c>
      <c r="J152" s="9">
        <v>0.4248</v>
      </c>
      <c r="K152" s="1">
        <f t="shared" si="35"/>
        <v>7000</v>
      </c>
      <c r="L152" s="9">
        <v>0.3403</v>
      </c>
    </row>
    <row r="153" spans="3:12" ht="12.75" hidden="1">
      <c r="C153" s="1">
        <f t="shared" si="32"/>
        <v>8000</v>
      </c>
      <c r="D153" s="9">
        <v>0.4444</v>
      </c>
      <c r="E153" s="1">
        <f t="shared" si="31"/>
        <v>1600</v>
      </c>
      <c r="F153" s="9">
        <v>1.0265</v>
      </c>
      <c r="G153" s="1">
        <f t="shared" si="33"/>
        <v>800</v>
      </c>
      <c r="H153" s="9">
        <v>0.2904</v>
      </c>
      <c r="I153" s="1">
        <f t="shared" si="34"/>
        <v>1600</v>
      </c>
      <c r="J153" s="9">
        <v>0.5122</v>
      </c>
      <c r="K153" s="1">
        <f t="shared" si="35"/>
        <v>8000</v>
      </c>
      <c r="L153" s="9">
        <v>0.4444</v>
      </c>
    </row>
    <row r="154" spans="3:12" ht="12.75" hidden="1">
      <c r="C154" s="1">
        <f t="shared" si="32"/>
        <v>9000</v>
      </c>
      <c r="D154" s="9">
        <v>0.5625</v>
      </c>
      <c r="E154" s="1">
        <f t="shared" si="31"/>
        <v>1800</v>
      </c>
      <c r="F154" s="9">
        <v>1.2541</v>
      </c>
      <c r="G154" s="1">
        <f t="shared" si="33"/>
        <v>900</v>
      </c>
      <c r="H154" s="9">
        <v>0.359</v>
      </c>
      <c r="I154" s="1">
        <f t="shared" si="34"/>
        <v>1800</v>
      </c>
      <c r="J154" s="9">
        <v>0.604</v>
      </c>
      <c r="K154" s="1">
        <f t="shared" si="35"/>
        <v>9000</v>
      </c>
      <c r="L154" s="9">
        <v>0.5625</v>
      </c>
    </row>
    <row r="155" spans="3:12" ht="12.75" hidden="1">
      <c r="C155" s="1">
        <f t="shared" si="32"/>
        <v>10000</v>
      </c>
      <c r="D155" s="9">
        <v>0.6944</v>
      </c>
      <c r="E155" s="1">
        <f t="shared" si="31"/>
        <v>2000</v>
      </c>
      <c r="F155" s="9">
        <v>1.5001</v>
      </c>
      <c r="G155" s="1">
        <f t="shared" si="33"/>
        <v>1000</v>
      </c>
      <c r="H155" s="9">
        <v>0.434</v>
      </c>
      <c r="I155" s="1">
        <f t="shared" si="34"/>
        <v>2000</v>
      </c>
      <c r="J155" s="9">
        <v>0.7</v>
      </c>
      <c r="K155" s="1">
        <f t="shared" si="35"/>
        <v>10000</v>
      </c>
      <c r="L155" s="9">
        <v>0.6944</v>
      </c>
    </row>
    <row r="156" spans="3:12" ht="12.75" hidden="1">
      <c r="C156" s="1">
        <f t="shared" si="32"/>
        <v>11000</v>
      </c>
      <c r="D156" s="9">
        <v>0.8402</v>
      </c>
      <c r="E156" s="1">
        <f aca="true" t="shared" si="36" ref="E156:E165">200+E155</f>
        <v>2200</v>
      </c>
      <c r="F156" s="9">
        <f>F155+$F$155-$F$154</f>
        <v>1.7461</v>
      </c>
      <c r="G156" s="1">
        <f t="shared" si="33"/>
        <v>1100</v>
      </c>
      <c r="H156" s="9">
        <v>0.5152</v>
      </c>
      <c r="I156" s="1">
        <f t="shared" si="34"/>
        <v>2200</v>
      </c>
      <c r="J156" s="9">
        <f>J155+$J$155-$J$154</f>
        <v>0.7959999999999999</v>
      </c>
      <c r="K156" s="1">
        <f t="shared" si="35"/>
        <v>11000</v>
      </c>
      <c r="L156" s="9">
        <v>0.8402</v>
      </c>
    </row>
    <row r="157" spans="3:12" ht="12.75" hidden="1">
      <c r="C157" s="1">
        <f t="shared" si="32"/>
        <v>12000</v>
      </c>
      <c r="D157" s="9">
        <v>0.9999</v>
      </c>
      <c r="E157" s="1">
        <f t="shared" si="36"/>
        <v>2400</v>
      </c>
      <c r="F157" s="9">
        <f aca="true" t="shared" si="37" ref="F157:F165">F156+$F$155-$F$154</f>
        <v>1.9921</v>
      </c>
      <c r="G157" s="1">
        <f t="shared" si="33"/>
        <v>1200</v>
      </c>
      <c r="H157" s="9">
        <v>0.6026</v>
      </c>
      <c r="I157" s="1">
        <f t="shared" si="34"/>
        <v>2400</v>
      </c>
      <c r="J157" s="9">
        <f aca="true" t="shared" si="38" ref="J157:J165">J156+$J$155-$J$154</f>
        <v>0.892</v>
      </c>
      <c r="K157" s="1">
        <f t="shared" si="35"/>
        <v>12000</v>
      </c>
      <c r="L157" s="9">
        <v>0.9999</v>
      </c>
    </row>
    <row r="158" spans="3:12" ht="12.75" hidden="1">
      <c r="C158" s="1">
        <f t="shared" si="32"/>
        <v>13000</v>
      </c>
      <c r="D158" s="9">
        <f>D157+$D$157-$D$156</f>
        <v>1.1596000000000002</v>
      </c>
      <c r="E158" s="1">
        <f t="shared" si="36"/>
        <v>2600</v>
      </c>
      <c r="F158" s="9">
        <f t="shared" si="37"/>
        <v>2.2381</v>
      </c>
      <c r="G158" s="1">
        <f t="shared" si="33"/>
        <v>1300</v>
      </c>
      <c r="H158" s="9">
        <f>H157+$H$157-$H$156</f>
        <v>0.6900000000000001</v>
      </c>
      <c r="I158" s="1">
        <f t="shared" si="34"/>
        <v>2600</v>
      </c>
      <c r="J158" s="9">
        <f t="shared" si="38"/>
        <v>0.9880000000000001</v>
      </c>
      <c r="K158" s="1">
        <f t="shared" si="35"/>
        <v>13000</v>
      </c>
      <c r="L158" s="9">
        <f>L157+$L$157-$L$156</f>
        <v>1.1596000000000002</v>
      </c>
    </row>
    <row r="159" spans="3:12" ht="12.75" hidden="1">
      <c r="C159" s="1">
        <f t="shared" si="32"/>
        <v>14000</v>
      </c>
      <c r="D159" s="9">
        <f aca="true" t="shared" si="39" ref="D159:D165">D158+$D$157-$D$156</f>
        <v>1.3193000000000006</v>
      </c>
      <c r="E159" s="1">
        <f t="shared" si="36"/>
        <v>2800</v>
      </c>
      <c r="F159" s="9">
        <f t="shared" si="37"/>
        <v>2.4840999999999998</v>
      </c>
      <c r="G159" s="1">
        <f t="shared" si="33"/>
        <v>1400</v>
      </c>
      <c r="H159" s="9">
        <f aca="true" t="shared" si="40" ref="H159:H165">H158+$H$157-$H$156</f>
        <v>0.7774000000000002</v>
      </c>
      <c r="I159" s="1">
        <f t="shared" si="34"/>
        <v>2800</v>
      </c>
      <c r="J159" s="9">
        <f t="shared" si="38"/>
        <v>1.084</v>
      </c>
      <c r="K159" s="1">
        <f t="shared" si="35"/>
        <v>14000</v>
      </c>
      <c r="L159" s="9">
        <f aca="true" t="shared" si="41" ref="L159:L165">L158+$L$157-$L$156</f>
        <v>1.3193000000000006</v>
      </c>
    </row>
    <row r="160" spans="3:12" ht="12.75" hidden="1">
      <c r="C160" s="1">
        <f t="shared" si="32"/>
        <v>15000</v>
      </c>
      <c r="D160" s="9">
        <f t="shared" si="39"/>
        <v>1.4790000000000005</v>
      </c>
      <c r="E160" s="1">
        <f t="shared" si="36"/>
        <v>3000</v>
      </c>
      <c r="F160" s="9">
        <f t="shared" si="37"/>
        <v>2.7300999999999993</v>
      </c>
      <c r="G160" s="1">
        <f t="shared" si="33"/>
        <v>1500</v>
      </c>
      <c r="H160" s="9">
        <f t="shared" si="40"/>
        <v>0.8648000000000003</v>
      </c>
      <c r="I160" s="1">
        <f t="shared" si="34"/>
        <v>3000</v>
      </c>
      <c r="J160" s="9">
        <f t="shared" si="38"/>
        <v>1.1800000000000002</v>
      </c>
      <c r="K160" s="1">
        <f t="shared" si="35"/>
        <v>15000</v>
      </c>
      <c r="L160" s="9">
        <f t="shared" si="41"/>
        <v>1.4790000000000005</v>
      </c>
    </row>
    <row r="161" spans="3:12" ht="12.75" hidden="1">
      <c r="C161" s="1">
        <f t="shared" si="32"/>
        <v>16000</v>
      </c>
      <c r="D161" s="9">
        <f t="shared" si="39"/>
        <v>1.6387000000000005</v>
      </c>
      <c r="E161" s="1">
        <f t="shared" si="36"/>
        <v>3200</v>
      </c>
      <c r="F161" s="9">
        <f t="shared" si="37"/>
        <v>2.976099999999999</v>
      </c>
      <c r="G161" s="1">
        <f t="shared" si="33"/>
        <v>1600</v>
      </c>
      <c r="H161" s="9">
        <f t="shared" si="40"/>
        <v>0.9522000000000005</v>
      </c>
      <c r="I161" s="1">
        <f t="shared" si="34"/>
        <v>3200</v>
      </c>
      <c r="J161" s="9">
        <f t="shared" si="38"/>
        <v>1.2760000000000002</v>
      </c>
      <c r="K161" s="1">
        <f t="shared" si="35"/>
        <v>16000</v>
      </c>
      <c r="L161" s="9">
        <f t="shared" si="41"/>
        <v>1.6387000000000005</v>
      </c>
    </row>
    <row r="162" spans="3:12" ht="12.75" hidden="1">
      <c r="C162" s="1">
        <f t="shared" si="32"/>
        <v>17000</v>
      </c>
      <c r="D162" s="9">
        <f t="shared" si="39"/>
        <v>1.7984000000000004</v>
      </c>
      <c r="E162" s="1">
        <f t="shared" si="36"/>
        <v>3400</v>
      </c>
      <c r="F162" s="9">
        <f t="shared" si="37"/>
        <v>3.2220999999999984</v>
      </c>
      <c r="G162" s="1">
        <f t="shared" si="33"/>
        <v>1700</v>
      </c>
      <c r="H162" s="9">
        <f t="shared" si="40"/>
        <v>1.0396000000000005</v>
      </c>
      <c r="I162" s="1">
        <f t="shared" si="34"/>
        <v>3400</v>
      </c>
      <c r="J162" s="9">
        <f t="shared" si="38"/>
        <v>1.3720000000000003</v>
      </c>
      <c r="K162" s="1">
        <f t="shared" si="35"/>
        <v>17000</v>
      </c>
      <c r="L162" s="9">
        <f t="shared" si="41"/>
        <v>1.7984000000000004</v>
      </c>
    </row>
    <row r="163" spans="3:12" ht="12.75" hidden="1">
      <c r="C163" s="1">
        <f t="shared" si="32"/>
        <v>18000</v>
      </c>
      <c r="D163" s="9">
        <f t="shared" si="39"/>
        <v>1.9581000000000004</v>
      </c>
      <c r="E163" s="1">
        <f t="shared" si="36"/>
        <v>3600</v>
      </c>
      <c r="F163" s="9">
        <f t="shared" si="37"/>
        <v>3.468099999999998</v>
      </c>
      <c r="G163" s="1">
        <f t="shared" si="33"/>
        <v>1800</v>
      </c>
      <c r="H163" s="9">
        <f t="shared" si="40"/>
        <v>1.1270000000000007</v>
      </c>
      <c r="I163" s="1">
        <f t="shared" si="34"/>
        <v>3600</v>
      </c>
      <c r="J163" s="9">
        <f t="shared" si="38"/>
        <v>1.468</v>
      </c>
      <c r="K163" s="1">
        <f t="shared" si="35"/>
        <v>18000</v>
      </c>
      <c r="L163" s="9">
        <f t="shared" si="41"/>
        <v>1.9581000000000004</v>
      </c>
    </row>
    <row r="164" spans="3:12" ht="12.75" hidden="1">
      <c r="C164" s="1">
        <f t="shared" si="32"/>
        <v>19000</v>
      </c>
      <c r="D164" s="9">
        <f t="shared" si="39"/>
        <v>2.1178000000000003</v>
      </c>
      <c r="E164" s="1">
        <f t="shared" si="36"/>
        <v>3800</v>
      </c>
      <c r="F164" s="9">
        <f t="shared" si="37"/>
        <v>3.7140999999999975</v>
      </c>
      <c r="G164" s="1">
        <f t="shared" si="33"/>
        <v>1900</v>
      </c>
      <c r="H164" s="9">
        <f t="shared" si="40"/>
        <v>1.2144000000000008</v>
      </c>
      <c r="I164" s="1">
        <f t="shared" si="34"/>
        <v>3800</v>
      </c>
      <c r="J164" s="9">
        <f t="shared" si="38"/>
        <v>1.564</v>
      </c>
      <c r="K164" s="1">
        <f t="shared" si="35"/>
        <v>19000</v>
      </c>
      <c r="L164" s="9">
        <f t="shared" si="41"/>
        <v>2.1178000000000003</v>
      </c>
    </row>
    <row r="165" spans="3:12" ht="12.75" hidden="1">
      <c r="C165" s="1">
        <f t="shared" si="32"/>
        <v>20000</v>
      </c>
      <c r="D165" s="9">
        <f t="shared" si="39"/>
        <v>2.2775000000000003</v>
      </c>
      <c r="E165" s="1">
        <f t="shared" si="36"/>
        <v>4000</v>
      </c>
      <c r="F165" s="9">
        <f t="shared" si="37"/>
        <v>3.960099999999997</v>
      </c>
      <c r="G165" s="1">
        <f t="shared" si="33"/>
        <v>2000</v>
      </c>
      <c r="H165" s="9">
        <f t="shared" si="40"/>
        <v>1.301800000000001</v>
      </c>
      <c r="I165" s="1">
        <f t="shared" si="34"/>
        <v>4000</v>
      </c>
      <c r="J165" s="9">
        <f t="shared" si="38"/>
        <v>1.6600000000000001</v>
      </c>
      <c r="K165" s="1">
        <f t="shared" si="35"/>
        <v>20000</v>
      </c>
      <c r="L165" s="9">
        <f t="shared" si="41"/>
        <v>2.2775000000000003</v>
      </c>
    </row>
    <row r="166" ht="12.75" hidden="1">
      <c r="C166" s="1"/>
    </row>
    <row r="167" ht="12.75" hidden="1">
      <c r="C167" t="s">
        <v>95</v>
      </c>
    </row>
    <row r="168" ht="12.75" hidden="1">
      <c r="C168" t="s">
        <v>90</v>
      </c>
    </row>
    <row r="169" ht="12.75" hidden="1">
      <c r="C169" t="s">
        <v>91</v>
      </c>
    </row>
    <row r="170" ht="12.75" hidden="1">
      <c r="C170">
        <f>IF(E99=1,C165,IF(E99=2,E165,IF(E99=3,G165,IF(E99=4,I165,K165))))</f>
        <v>2000</v>
      </c>
    </row>
  </sheetData>
  <sheetProtection sheet="1"/>
  <mergeCells count="12">
    <mergeCell ref="B41:E41"/>
    <mergeCell ref="G77:G78"/>
    <mergeCell ref="C3:L4"/>
    <mergeCell ref="B6:M6"/>
    <mergeCell ref="G99:H99"/>
    <mergeCell ref="H43:L43"/>
    <mergeCell ref="C43:G43"/>
    <mergeCell ref="B60:C61"/>
    <mergeCell ref="F77:F78"/>
    <mergeCell ref="K79:K80"/>
    <mergeCell ref="L79:L80"/>
    <mergeCell ref="K78:L78"/>
  </mergeCells>
  <dataValidations count="1">
    <dataValidation allowBlank="1" showErrorMessage="1" prompt="Enter the interest rate as a whole number.  For example, 8% would be entered as 8." sqref="D13"/>
  </dataValidations>
  <printOptions horizontalCentered="1"/>
  <pageMargins left="0.5" right="0.5" top="0.5" bottom="0.75" header="0.5" footer="0.5"/>
  <pageSetup fitToHeight="1" fitToWidth="1" horizontalDpi="600" verticalDpi="600" orientation="portrait" scale="49" r:id="rId4"/>
  <headerFooter alignWithMargins="0">
    <oddFooter>&amp;LFilename:  &amp;F&amp;C&amp;D, &amp;T&amp;R&amp;B&amp;B&amp;10Page 1 of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J19"/>
  <sheetViews>
    <sheetView showGridLines="0" zoomScalePageLayoutView="0" workbookViewId="0" topLeftCell="A1">
      <selection activeCell="A1" sqref="A1"/>
    </sheetView>
  </sheetViews>
  <sheetFormatPr defaultColWidth="9.140625" defaultRowHeight="12.75"/>
  <cols>
    <col min="1" max="1" width="28.57421875" style="16" bestFit="1" customWidth="1"/>
    <col min="2" max="2" width="9.140625" style="16" customWidth="1"/>
    <col min="3" max="10" width="12.7109375" style="16" customWidth="1"/>
    <col min="11" max="16384" width="9.140625" style="16" customWidth="1"/>
  </cols>
  <sheetData>
    <row r="1" ht="15.75">
      <c r="A1" s="69" t="s">
        <v>68</v>
      </c>
    </row>
    <row r="2" ht="15"/>
    <row r="3" ht="15"/>
    <row r="4" spans="2:4" ht="15">
      <c r="B4" s="256" t="s">
        <v>64</v>
      </c>
      <c r="C4" s="257"/>
      <c r="D4" s="48" t="s">
        <v>59</v>
      </c>
    </row>
    <row r="5" spans="1:4" ht="15">
      <c r="A5" s="76" t="s">
        <v>67</v>
      </c>
      <c r="B5" s="252">
        <f>ROUND(('Cost Analysis'!K15-829.92*D5/18)/553.28*18,2)</f>
        <v>0.82</v>
      </c>
      <c r="C5" s="253"/>
      <c r="D5" s="79">
        <f>ROUND((0.014*'Cost Analysis'!K15-'Cost Analysis'!K14/56*2000/176)/10.64*18,2)</f>
        <v>6.5</v>
      </c>
    </row>
    <row r="6" spans="1:4" ht="15">
      <c r="A6" s="82" t="s">
        <v>69</v>
      </c>
      <c r="B6" s="254">
        <f>ROUND(B5*'Cost Analysis'!D11/2000,2)</f>
        <v>0.51</v>
      </c>
      <c r="C6" s="255"/>
      <c r="D6" s="75">
        <f>ROUND(D5*'Cost Analysis'!D11/2000,2)</f>
        <v>4.06</v>
      </c>
    </row>
    <row r="7" ht="15"/>
    <row r="8" ht="15"/>
    <row r="9" ht="15"/>
    <row r="10" spans="1:9" ht="15.75">
      <c r="A10" s="69" t="s">
        <v>63</v>
      </c>
      <c r="C10" s="69"/>
      <c r="D10" s="69"/>
      <c r="F10" s="86"/>
      <c r="G10" s="87"/>
      <c r="H10" s="88"/>
      <c r="I10" s="88"/>
    </row>
    <row r="11" ht="15"/>
    <row r="12" spans="3:10" ht="15.75" thickBot="1">
      <c r="C12" s="264" t="s">
        <v>58</v>
      </c>
      <c r="D12" s="265"/>
      <c r="E12" s="265"/>
      <c r="F12" s="265"/>
      <c r="G12" s="265"/>
      <c r="H12" s="265"/>
      <c r="I12" s="265"/>
      <c r="J12" s="266"/>
    </row>
    <row r="13" spans="2:10" ht="15.75" thickBot="1">
      <c r="B13" s="89"/>
      <c r="C13" s="90">
        <v>5</v>
      </c>
      <c r="D13" s="91">
        <v>10</v>
      </c>
      <c r="E13" s="91">
        <v>15</v>
      </c>
      <c r="F13" s="91">
        <v>20</v>
      </c>
      <c r="G13" s="92">
        <f>+C13</f>
        <v>5</v>
      </c>
      <c r="H13" s="146">
        <f>D13</f>
        <v>10</v>
      </c>
      <c r="I13" s="146">
        <f>E13</f>
        <v>15</v>
      </c>
      <c r="J13" s="146">
        <f>F13</f>
        <v>20</v>
      </c>
    </row>
    <row r="14" spans="3:10" ht="15.75" thickBot="1">
      <c r="C14" s="261" t="s">
        <v>115</v>
      </c>
      <c r="D14" s="262"/>
      <c r="E14" s="262"/>
      <c r="F14" s="263"/>
      <c r="G14" s="261" t="s">
        <v>60</v>
      </c>
      <c r="H14" s="262"/>
      <c r="I14" s="262"/>
      <c r="J14" s="263"/>
    </row>
    <row r="15" spans="1:10" ht="15">
      <c r="A15" s="258" t="s">
        <v>61</v>
      </c>
      <c r="B15" s="93">
        <v>0</v>
      </c>
      <c r="C15" s="53">
        <f>($B15*$D$5+(C$13-$B15)*$B$5)*'Cost Analysis'!$D$10*'Cost Analysis'!$D$11/2000</f>
        <v>1229.9999999999998</v>
      </c>
      <c r="D15" s="53">
        <f>($B15*$D$5+(D$13-$B15)*$B$5)*'Cost Analysis'!$D$10*'Cost Analysis'!$D$11/2000</f>
        <v>2459.9999999999995</v>
      </c>
      <c r="E15" s="53">
        <f>($B15*$D$5+(E$13-$B15)*$B$5)*'Cost Analysis'!$D$10*'Cost Analysis'!$D$11/2000</f>
        <v>3689.9999999999995</v>
      </c>
      <c r="F15" s="53">
        <f>($B15*$D$5+(F$13-$B15)*$B$5)*'Cost Analysis'!$D$10*'Cost Analysis'!$D$11/2000</f>
        <v>4919.999999999999</v>
      </c>
      <c r="G15" s="77">
        <f>C15/'Cost Analysis'!$D$10</f>
        <v>2.5624999999999996</v>
      </c>
      <c r="H15" s="94">
        <f>D15/'Cost Analysis'!$D$10</f>
        <v>5.124999999999999</v>
      </c>
      <c r="I15" s="94">
        <f>E15/'Cost Analysis'!$D$10</f>
        <v>7.687499999999999</v>
      </c>
      <c r="J15" s="78">
        <f>F15/'Cost Analysis'!$D$10</f>
        <v>10.249999999999998</v>
      </c>
    </row>
    <row r="16" spans="1:10" ht="15">
      <c r="A16" s="259"/>
      <c r="B16" s="95">
        <v>2</v>
      </c>
      <c r="C16" s="54">
        <f>($B16*$D$5+(C$13-$B16)*$B$5)*'Cost Analysis'!$D$10*'Cost Analysis'!$D$11/2000</f>
        <v>4638</v>
      </c>
      <c r="D16" s="54">
        <f>($B16*$D$5+(D$13-$B16)*$B$5)*'Cost Analysis'!$D$10*'Cost Analysis'!$D$11/2000</f>
        <v>5868</v>
      </c>
      <c r="E16" s="54">
        <f>($B16*$D$5+(E$13-$B16)*$B$5)*'Cost Analysis'!$D$10*'Cost Analysis'!$D$11/2000</f>
        <v>7098</v>
      </c>
      <c r="F16" s="54">
        <f>($B16*$D$5+(F$13-$B16)*$B$5)*'Cost Analysis'!$D$10*'Cost Analysis'!$D$11/2000</f>
        <v>8328</v>
      </c>
      <c r="G16" s="73">
        <f>C16/'Cost Analysis'!$D$10</f>
        <v>9.6625</v>
      </c>
      <c r="H16" s="96">
        <f>D16/'Cost Analysis'!$D$10</f>
        <v>12.225</v>
      </c>
      <c r="I16" s="96">
        <f>E16/'Cost Analysis'!$D$10</f>
        <v>14.7875</v>
      </c>
      <c r="J16" s="97">
        <f>F16/'Cost Analysis'!$D$10</f>
        <v>17.35</v>
      </c>
    </row>
    <row r="17" spans="1:10" ht="15">
      <c r="A17" s="259"/>
      <c r="B17" s="95">
        <v>4</v>
      </c>
      <c r="C17" s="54">
        <f>($B17*$D$5+(C$13-$B17)*$B$5)*'Cost Analysis'!$D$10*'Cost Analysis'!$D$11/2000</f>
        <v>8046</v>
      </c>
      <c r="D17" s="54">
        <f>($B17*$D$5+(D$13-$B17)*$B$5)*'Cost Analysis'!$D$10*'Cost Analysis'!$D$11/2000</f>
        <v>9276</v>
      </c>
      <c r="E17" s="54">
        <f>($B17*$D$5+(E$13-$B17)*$B$5)*'Cost Analysis'!$D$10*'Cost Analysis'!$D$11/2000</f>
        <v>10506</v>
      </c>
      <c r="F17" s="54">
        <f>($B17*$D$5+(F$13-$B17)*$B$5)*'Cost Analysis'!$D$10*'Cost Analysis'!$D$11/2000</f>
        <v>11736</v>
      </c>
      <c r="G17" s="74">
        <f>C17/'Cost Analysis'!$D$10</f>
        <v>16.7625</v>
      </c>
      <c r="H17" s="96">
        <f>D17/'Cost Analysis'!$D$10</f>
        <v>19.325</v>
      </c>
      <c r="I17" s="96">
        <f>E17/'Cost Analysis'!$D$10</f>
        <v>21.8875</v>
      </c>
      <c r="J17" s="97">
        <f>F17/'Cost Analysis'!$D$10</f>
        <v>24.45</v>
      </c>
    </row>
    <row r="18" spans="1:10" ht="15">
      <c r="A18" s="259"/>
      <c r="B18" s="98">
        <v>6</v>
      </c>
      <c r="C18" s="267" t="s">
        <v>94</v>
      </c>
      <c r="D18" s="54">
        <f>($B18*$D$5+(D$13-$B18)*$B$5)*'Cost Analysis'!$D$10*'Cost Analysis'!$D$11/2000</f>
        <v>12684</v>
      </c>
      <c r="E18" s="54">
        <f>($B18*$D$5+(E$13-$B18)*$B$5)*'Cost Analysis'!$D$10*'Cost Analysis'!$D$11/2000</f>
        <v>13914</v>
      </c>
      <c r="F18" s="54">
        <f>($B18*$D$5+(F$13-$B18)*$B$5)*'Cost Analysis'!$D$10*'Cost Analysis'!$D$11/2000</f>
        <v>15143.999999999998</v>
      </c>
      <c r="G18" s="267" t="s">
        <v>94</v>
      </c>
      <c r="H18" s="73">
        <f>D18/'Cost Analysis'!$D$10</f>
        <v>26.425</v>
      </c>
      <c r="I18" s="96">
        <f>E18/'Cost Analysis'!$D$10</f>
        <v>28.9875</v>
      </c>
      <c r="J18" s="97">
        <f>F18/'Cost Analysis'!$D$10</f>
        <v>31.549999999999997</v>
      </c>
    </row>
    <row r="19" spans="1:10" ht="15.75" thickBot="1">
      <c r="A19" s="260"/>
      <c r="B19" s="99">
        <v>8</v>
      </c>
      <c r="C19" s="268"/>
      <c r="D19" s="56">
        <f>($B19*$D$5+(D$13-$B19)*$B$5)*'Cost Analysis'!$D$10*'Cost Analysis'!$D$11/2000</f>
        <v>16092</v>
      </c>
      <c r="E19" s="56">
        <f>($B19*$D$5+(E$13-$B19)*$B$5)*'Cost Analysis'!$D$10*'Cost Analysis'!$D$11/2000</f>
        <v>17322</v>
      </c>
      <c r="F19" s="56">
        <f>($B19*$D$5+(F$13-$B19)*$B$5)*'Cost Analysis'!$D$10*'Cost Analysis'!$D$11/2000</f>
        <v>18552</v>
      </c>
      <c r="G19" s="268"/>
      <c r="H19" s="74">
        <f>D19/'Cost Analysis'!$D$10</f>
        <v>33.525</v>
      </c>
      <c r="I19" s="100">
        <f>E19/'Cost Analysis'!$D$10</f>
        <v>36.0875</v>
      </c>
      <c r="J19" s="83">
        <f>F19/'Cost Analysis'!$D$10</f>
        <v>38.65</v>
      </c>
    </row>
    <row r="22" ht="15"/>
  </sheetData>
  <sheetProtection sheet="1"/>
  <mergeCells count="9">
    <mergeCell ref="B5:C5"/>
    <mergeCell ref="B6:C6"/>
    <mergeCell ref="B4:C4"/>
    <mergeCell ref="A15:A19"/>
    <mergeCell ref="C14:F14"/>
    <mergeCell ref="G14:J14"/>
    <mergeCell ref="C12:J12"/>
    <mergeCell ref="G18:G19"/>
    <mergeCell ref="C18:C19"/>
  </mergeCells>
  <printOptions/>
  <pageMargins left="0.7" right="0.7" top="0.75" bottom="0.75" header="0.3" footer="0.3"/>
  <pageSetup fitToHeight="1" fitToWidth="1" horizontalDpi="300" verticalDpi="300" orientation="landscape" scale="89"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B12"/>
  <sheetViews>
    <sheetView zoomScalePageLayoutView="0" workbookViewId="0" topLeftCell="A1">
      <selection activeCell="B13" sqref="B13"/>
    </sheetView>
  </sheetViews>
  <sheetFormatPr defaultColWidth="9.140625" defaultRowHeight="12.75"/>
  <sheetData>
    <row r="1" spans="1:2" ht="12.75">
      <c r="A1" s="13" t="s">
        <v>97</v>
      </c>
      <c r="B1" s="13" t="s">
        <v>98</v>
      </c>
    </row>
    <row r="2" spans="1:2" ht="12.75">
      <c r="A2" s="13" t="s">
        <v>99</v>
      </c>
      <c r="B2" s="13" t="s">
        <v>100</v>
      </c>
    </row>
    <row r="3" ht="12.75">
      <c r="B3" s="13" t="s">
        <v>101</v>
      </c>
    </row>
    <row r="4" ht="12.75">
      <c r="B4" s="13" t="s">
        <v>102</v>
      </c>
    </row>
    <row r="5" ht="12.75">
      <c r="B5" s="13" t="s">
        <v>103</v>
      </c>
    </row>
    <row r="6" ht="12.75">
      <c r="B6" s="13" t="s">
        <v>104</v>
      </c>
    </row>
    <row r="8" ht="12.75">
      <c r="B8" s="13" t="s">
        <v>116</v>
      </c>
    </row>
    <row r="9" ht="12.75">
      <c r="B9" s="13" t="s">
        <v>117</v>
      </c>
    </row>
    <row r="10" ht="12.75">
      <c r="B10" s="13" t="s">
        <v>118</v>
      </c>
    </row>
    <row r="11" ht="12.75">
      <c r="B11" s="13" t="s">
        <v>119</v>
      </c>
    </row>
    <row r="12" ht="12.75">
      <c r="B12" s="13"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Agricultural Extenstion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Own or Hire Custom Hire Hay Harvest and Haul Template</dc:title>
  <dc:subject/>
  <dc:creator>Christy Waggoner</dc:creator>
  <cp:keywords/>
  <dc:description/>
  <cp:lastModifiedBy>Sahs, Roger Vaughn</cp:lastModifiedBy>
  <cp:lastPrinted>2011-10-03T14:04:03Z</cp:lastPrinted>
  <dcterms:created xsi:type="dcterms:W3CDTF">1997-09-19T19:46:57Z</dcterms:created>
  <dcterms:modified xsi:type="dcterms:W3CDTF">2016-01-14T16:49:16Z</dcterms:modified>
  <cp:category/>
  <cp:version/>
  <cp:contentType/>
  <cp:contentStatus/>
</cp:coreProperties>
</file>