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50" windowHeight="5895" tabRatio="910" activeTab="6"/>
  </bookViews>
  <sheets>
    <sheet name="Home" sheetId="1" r:id="rId1"/>
    <sheet name="Results" sheetId="2" r:id="rId2"/>
    <sheet name="Wheat" sheetId="3" r:id="rId3"/>
    <sheet name="Stocker" sheetId="4" r:id="rId4"/>
    <sheet name="Wheat &amp; Stocker History" sheetId="5" r:id="rId5"/>
    <sheet name="Fertilizer History" sheetId="6" r:id="rId6"/>
    <sheet name="USDA COP" sheetId="7" r:id="rId7"/>
    <sheet name="Yld Chart" sheetId="8" r:id="rId8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n">#REF!</definedName>
    <definedName name="\p">#REF!</definedName>
    <definedName name="\r">#REF!</definedName>
    <definedName name="\s">#REF!</definedName>
    <definedName name="\t">#REF!</definedName>
    <definedName name="\w">#REF!</definedName>
    <definedName name="\z">#REF!</definedName>
    <definedName name="_Dist_Bin" hidden="1">#REF!</definedName>
    <definedName name="_Dist_Values" hidden="1">#REF!</definedName>
    <definedName name="_Table2_In1" hidden="1">#REF!</definedName>
    <definedName name="_Table2_In2" hidden="1">#REF!</definedName>
    <definedName name="_Table2_Out" hidden="1">#REF!</definedName>
    <definedName name="DAN">#REF!</definedName>
    <definedName name="_xlnm.Print_Area" localSheetId="3">'Stocker'!$A$1:$G$25</definedName>
    <definedName name="_xlnm.Print_Area" localSheetId="6">'USDA COP'!$A$139:$B$145</definedName>
    <definedName name="_xlnm.Print_Area" localSheetId="4">'Wheat &amp; Stocker History'!$A$1:$N$41</definedName>
    <definedName name="TABLE" localSheetId="4">'Wheat &amp; Stocker History'!#REF!</definedName>
    <definedName name="TABLE_2" localSheetId="4">'Wheat &amp; Stocker History'!#REF!</definedName>
    <definedName name="TOPMENU">#REF!</definedName>
  </definedNames>
  <calcPr fullCalcOnLoad="1"/>
</workbook>
</file>

<file path=xl/comments1.xml><?xml version="1.0" encoding="utf-8"?>
<comments xmlns="http://schemas.openxmlformats.org/spreadsheetml/2006/main">
  <authors>
    <author>Francis Epplin</author>
  </authors>
  <commentList>
    <comment ref="A10" authorId="0">
      <text>
        <r>
          <rPr>
            <sz val="10"/>
            <rFont val="Arial"/>
            <family val="2"/>
          </rPr>
          <t>Click on the designated gray buttons to move from worksheet to worksheet.</t>
        </r>
        <r>
          <rPr>
            <sz val="11"/>
            <rFont val="Arial"/>
            <family val="2"/>
          </rPr>
          <t xml:space="preserve">
 </t>
        </r>
        <r>
          <rPr>
            <sz val="8"/>
            <rFont val="Tahoma"/>
            <family val="0"/>
          </rPr>
          <t xml:space="preserve">
</t>
        </r>
      </text>
    </comment>
    <comment ref="I23" authorId="0">
      <text>
        <r>
          <rPr>
            <sz val="10"/>
            <rFont val="Arial"/>
            <family val="2"/>
          </rPr>
          <t>If you get lost in a worksheet, press Ctrl Home to return to cell A1</t>
        </r>
        <r>
          <rPr>
            <b/>
            <sz val="10"/>
            <rFont val="Arial"/>
            <family val="2"/>
          </rPr>
          <t>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Francis Epplin</author>
  </authors>
  <commentList>
    <comment ref="A10" authorId="0">
      <text>
        <r>
          <rPr>
            <sz val="10"/>
            <rFont val="Arial"/>
            <family val="2"/>
          </rPr>
          <t xml:space="preserve">Enter values to reflect the farm's situation in the cells bordered with single lines.  These values may be changed to conduct sensitivity analysis.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Francis Epplin</author>
  </authors>
  <commentList>
    <comment ref="C16" authorId="0">
      <text>
        <r>
          <rPr>
            <sz val="10"/>
            <rFont val="Arial"/>
            <family val="2"/>
          </rPr>
          <t>Enter appropriate values to reflect the farm's situation in cells bordered with a single line.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sz val="10"/>
            <rFont val="Arial"/>
            <family val="2"/>
          </rPr>
          <t xml:space="preserve">Click on the tabs at the bottom of the Excel screen to move from worksheet to worksheet, or click the Home button to return to the main menu.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Francis Epplin</author>
  </authors>
  <commentList>
    <comment ref="I18" authorId="0">
      <text>
        <r>
          <rPr>
            <sz val="10"/>
            <rFont val="Arial"/>
            <family val="2"/>
          </rPr>
          <t>Enter appropriate values to reflect the farm's situation in the cells bordered with single lines.</t>
        </r>
        <r>
          <rPr>
            <sz val="12"/>
            <rFont val="Times New Roman"/>
            <family val="1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13" authorId="0">
      <text>
        <r>
          <rPr>
            <sz val="10"/>
            <rFont val="Arial"/>
            <family val="2"/>
          </rPr>
          <t>It is assumed that under leasing options the livestock owner pays the feed, hay, vet-med, and labor costs associated with the livestock.  If this is not the case, enter a value in the Misc Leasing Exp cell to account for these costs.</t>
        </r>
      </text>
    </comment>
  </commentList>
</comments>
</file>

<file path=xl/sharedStrings.xml><?xml version="1.0" encoding="utf-8"?>
<sst xmlns="http://schemas.openxmlformats.org/spreadsheetml/2006/main" count="1111" uniqueCount="419">
  <si>
    <t xml:space="preserve"> </t>
  </si>
  <si>
    <t>FALL/WINTER GRAZING</t>
  </si>
  <si>
    <t>INPUT QUANTITIES:</t>
  </si>
  <si>
    <t xml:space="preserve">  INPUT PRICES:</t>
  </si>
  <si>
    <t>Seed (bu/ac)</t>
  </si>
  <si>
    <t xml:space="preserve">   Seed ($/bu)</t>
  </si>
  <si>
    <t>Nitrogen (lb/ac)</t>
  </si>
  <si>
    <t xml:space="preserve">   Nitrogen ($/lb)</t>
  </si>
  <si>
    <t>Death Loss (%)</t>
  </si>
  <si>
    <t>Phosphorous (lb/ac)</t>
  </si>
  <si>
    <t xml:space="preserve">   Phosphorous ($/lb)</t>
  </si>
  <si>
    <t>Other Nutrients (lb/ac)</t>
  </si>
  <si>
    <t xml:space="preserve">   Other Nutrients ($/lb)</t>
  </si>
  <si>
    <t>FEED:</t>
  </si>
  <si>
    <t xml:space="preserve">   Days Fed</t>
  </si>
  <si>
    <t xml:space="preserve">   Custom Harvest ($/ac)</t>
  </si>
  <si>
    <t xml:space="preserve">  Supplemental Hay</t>
  </si>
  <si>
    <t xml:space="preserve">   Custom Harvest ($/bu)</t>
  </si>
  <si>
    <t xml:space="preserve">   Wheat</t>
  </si>
  <si>
    <t xml:space="preserve">  Supplemental Feed</t>
  </si>
  <si>
    <t xml:space="preserve">   Custom Hauling ($/bu)</t>
  </si>
  <si>
    <t xml:space="preserve">  Salt/Mineral</t>
  </si>
  <si>
    <t>Price</t>
  </si>
  <si>
    <t xml:space="preserve">   Miscellaneous ($/ac)</t>
  </si>
  <si>
    <t>LABOR:</t>
  </si>
  <si>
    <t>XXX</t>
  </si>
  <si>
    <t>UNIT</t>
  </si>
  <si>
    <t>PRICE</t>
  </si>
  <si>
    <t>QUANTITY</t>
  </si>
  <si>
    <t xml:space="preserve">  VALUE</t>
  </si>
  <si>
    <t>MACHINERY COST INPUT:</t>
  </si>
  <si>
    <t>LIVESTOCK RECEIPTS:</t>
  </si>
  <si>
    <t xml:space="preserve">    Total Receipts</t>
  </si>
  <si>
    <t>OPERATING INPUTS:</t>
  </si>
  <si>
    <t xml:space="preserve"> Hrs/hd/day</t>
  </si>
  <si>
    <t xml:space="preserve">  Stocker Calves</t>
  </si>
  <si>
    <t>cwt</t>
  </si>
  <si>
    <t>lb</t>
  </si>
  <si>
    <t xml:space="preserve">  Salt &amp; Mineral</t>
  </si>
  <si>
    <t xml:space="preserve">  Freight</t>
  </si>
  <si>
    <t xml:space="preserve">  Marketing</t>
  </si>
  <si>
    <t xml:space="preserve">  Vet-Med Expenses </t>
  </si>
  <si>
    <t>hd</t>
  </si>
  <si>
    <t xml:space="preserve">  Mach.&amp; Equip. Costs</t>
  </si>
  <si>
    <t xml:space="preserve">  Interest Expense</t>
  </si>
  <si>
    <t>dol</t>
  </si>
  <si>
    <t xml:space="preserve">  Labor</t>
  </si>
  <si>
    <t>hr</t>
  </si>
  <si>
    <t xml:space="preserve">  Beef Checkoff</t>
  </si>
  <si>
    <t xml:space="preserve">  Miscellaneous</t>
  </si>
  <si>
    <t xml:space="preserve">    Total Operating Costs</t>
  </si>
  <si>
    <t>RETURN ABOVE OPERATING COSTS  ($/hd)</t>
  </si>
  <si>
    <t>Unit</t>
  </si>
  <si>
    <t>CROP RECEIPTS:</t>
  </si>
  <si>
    <t>bu</t>
  </si>
  <si>
    <t xml:space="preserve">  Wheat Seed</t>
  </si>
  <si>
    <t xml:space="preserve">  Nitrogen </t>
  </si>
  <si>
    <t xml:space="preserve">  Phosphorus </t>
  </si>
  <si>
    <t xml:space="preserve">  Other Nutrients</t>
  </si>
  <si>
    <t xml:space="preserve">  Herbicide</t>
  </si>
  <si>
    <t>appl</t>
  </si>
  <si>
    <t xml:space="preserve">  Insecticide</t>
  </si>
  <si>
    <t xml:space="preserve">  Custom Harvest</t>
  </si>
  <si>
    <t>acre</t>
  </si>
  <si>
    <t xml:space="preserve">  Custom Hauling</t>
  </si>
  <si>
    <t xml:space="preserve">  </t>
  </si>
  <si>
    <t>RETURN ABOVE OPERATING COSTS  ($/ac)</t>
  </si>
  <si>
    <t>SHORT-RUN BREAKEVEN PRICE  ($/bu)</t>
  </si>
  <si>
    <t>SHORT-RUN BREAKEVEN YIELD  (bu/ac)</t>
  </si>
  <si>
    <t>Value</t>
  </si>
  <si>
    <t>Days Fed</t>
  </si>
  <si>
    <t>Cost ($/lb)</t>
  </si>
  <si>
    <t>Grain</t>
  </si>
  <si>
    <t>only</t>
  </si>
  <si>
    <t>Forage &amp;</t>
  </si>
  <si>
    <t>Grain-</t>
  </si>
  <si>
    <t>Forage-</t>
  </si>
  <si>
    <t xml:space="preserve">    Grain-only</t>
  </si>
  <si>
    <t xml:space="preserve">   Forage-only</t>
  </si>
  <si>
    <t xml:space="preserve"> Forage &amp; Grain</t>
  </si>
  <si>
    <t xml:space="preserve"> Beef Checkoff ($/hd)</t>
  </si>
  <si>
    <t xml:space="preserve"> Marketing ($/cwt)</t>
  </si>
  <si>
    <t xml:space="preserve"> Freight ($/cwt)</t>
  </si>
  <si>
    <t>Grain Only</t>
  </si>
  <si>
    <t>Forage and Grain</t>
  </si>
  <si>
    <t>Forage only  (full season grazing)</t>
  </si>
  <si>
    <t>Farmer Alternatives</t>
  </si>
  <si>
    <t>$/acre</t>
  </si>
  <si>
    <t>Own cattle</t>
  </si>
  <si>
    <t>Pasture under contract</t>
  </si>
  <si>
    <t xml:space="preserve">  Stockers owned</t>
  </si>
  <si>
    <t xml:space="preserve">  Pasture rental @ $/cwt/m</t>
  </si>
  <si>
    <t xml:space="preserve">  Pasture rental @ $/lb gn</t>
  </si>
  <si>
    <t>Quantity</t>
  </si>
  <si>
    <t>SHORT-RUN BREAKEVEN GAIN (lb/head)</t>
  </si>
  <si>
    <t>Cents/pound of gain</t>
  </si>
  <si>
    <t>$/cwt/month</t>
  </si>
  <si>
    <t>Grain-Only Wheat Yield (bu/a)</t>
  </si>
  <si>
    <t>Forage and Grain Wheat Yield (bu/a)</t>
  </si>
  <si>
    <t>Wheat Price ($/bu)</t>
  </si>
  <si>
    <t>Stocker Purchase Weight (lbs)</t>
  </si>
  <si>
    <t>Stocker Purchase Price ($/lb)</t>
  </si>
  <si>
    <t xml:space="preserve">    Planted early but not grazed</t>
  </si>
  <si>
    <t xml:space="preserve">    Grazed with Own Cattle</t>
  </si>
  <si>
    <t xml:space="preserve">    Pasture Cattle Under $/# gain contract</t>
  </si>
  <si>
    <t xml:space="preserve">    Pasture Cattle Under $/cwt/month contract</t>
  </si>
  <si>
    <t>Labor (hr/ac)</t>
  </si>
  <si>
    <t>hrs</t>
  </si>
  <si>
    <t>SPRING  GRAZING (GRAZE OUT) DATA</t>
  </si>
  <si>
    <t>BUDGETS:</t>
  </si>
  <si>
    <t xml:space="preserve">  Additional Freight</t>
  </si>
  <si>
    <t xml:space="preserve">  Additional  Marketing</t>
  </si>
  <si>
    <t xml:space="preserve">    For the Spring Grazing (GRAZEOUT) Season</t>
  </si>
  <si>
    <t xml:space="preserve">  Grazeout Stocker</t>
  </si>
  <si>
    <t>Fall-winter stocking density (ac/hd)</t>
  </si>
  <si>
    <t xml:space="preserve">     Own Cattle</t>
  </si>
  <si>
    <t xml:space="preserve">     Pasture Cattle Under $/# gain contract</t>
  </si>
  <si>
    <t xml:space="preserve">     Pasture Cattle Under $/cwt/month contract </t>
  </si>
  <si>
    <t xml:space="preserve">    Never Grazed</t>
  </si>
  <si>
    <t>Grazeout stocking density (ac/hd)</t>
  </si>
  <si>
    <t>Pasture Leased Out Rate ($/lb of gain)</t>
  </si>
  <si>
    <t>Pasture Leased Out Rate ($/cwt/month)</t>
  </si>
  <si>
    <t>Wage Rate ($/hr)</t>
  </si>
  <si>
    <t>Return to land, machinery fixed costs, management, and overhead</t>
  </si>
  <si>
    <t>Interest Rate (%)</t>
  </si>
  <si>
    <t>Forage Only (Own Cattle)</t>
  </si>
  <si>
    <t>Forage Only ($/cwt/m Lease)</t>
  </si>
  <si>
    <t>Key</t>
  </si>
  <si>
    <t>Variables</t>
  </si>
  <si>
    <t>Year</t>
  </si>
  <si>
    <t xml:space="preserve">Oklahoma </t>
  </si>
  <si>
    <t>Wheat Grain</t>
  </si>
  <si>
    <t>Yield/Har</t>
  </si>
  <si>
    <t>Acre</t>
  </si>
  <si>
    <t>(bu/a)</t>
  </si>
  <si>
    <t>Historical estimates of county wheat yields are available from</t>
  </si>
  <si>
    <t>average</t>
  </si>
  <si>
    <t>price</t>
  </si>
  <si>
    <t>received</t>
  </si>
  <si>
    <t>Season</t>
  </si>
  <si>
    <t>Wheat</t>
  </si>
  <si>
    <t xml:space="preserve">June </t>
  </si>
  <si>
    <t xml:space="preserve">price </t>
  </si>
  <si>
    <t>($/bu)</t>
  </si>
  <si>
    <t>($/cwt)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</si>
  <si>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</si>
  <si>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</si>
  <si>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</si>
  <si>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</si>
  <si>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</si>
  <si>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</si>
  <si>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</si>
  <si>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</si>
  <si>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</si>
  <si>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</si>
  <si>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</si>
  <si>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</si>
  <si>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</si>
  <si>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</si>
  <si>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</si>
  <si>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</si>
  <si>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</si>
  <si>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</si>
  <si>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</si>
  <si>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</si>
  <si>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Average</t>
  </si>
  <si>
    <t xml:space="preserve">Wheat </t>
  </si>
  <si>
    <t>Production</t>
  </si>
  <si>
    <t>Oct</t>
  </si>
  <si>
    <t>4-5 cwt</t>
  </si>
  <si>
    <t>Steer</t>
  </si>
  <si>
    <t>Mar</t>
  </si>
  <si>
    <t>6-7 cwt</t>
  </si>
  <si>
    <t>1996-97</t>
  </si>
  <si>
    <t>1997-98</t>
  </si>
  <si>
    <t>May</t>
  </si>
  <si>
    <t>8-9 cwt</t>
  </si>
  <si>
    <t xml:space="preserve">Worksheet for entering wheat production data </t>
  </si>
  <si>
    <t xml:space="preserve">Worksheet for entering stocker production data </t>
  </si>
  <si>
    <t>Worksheet for entering values for key variables and for conducting sensitivity analysis</t>
  </si>
  <si>
    <t>http://mann77.mannlib.cornell.edu/data-sets/inputs/86012/</t>
  </si>
  <si>
    <t>April 18, 1998</t>
  </si>
  <si>
    <t>Table 22--Percentage of wheat acreage receiving any fertilizer, selected States</t>
  </si>
  <si>
    <t>State</t>
  </si>
  <si>
    <t>: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</si>
  <si>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</si>
  <si>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</si>
  <si>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</si>
  <si>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</si>
  <si>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</si>
  <si>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</si>
  <si>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</si>
  <si>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</si>
  <si>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</si>
  <si>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</si>
  <si>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</si>
  <si>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</si>
  <si>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</si>
  <si>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</si>
  <si>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Oklahoma</t>
  </si>
  <si>
    <t xml:space="preserve">  NA = Not available.</t>
  </si>
  <si>
    <t>Table 23--Percentage of wheat acreage receiving nitrogen fertilizer, selected States</t>
  </si>
  <si>
    <t>Table 24--Nitrogen used on wheat, rate per fertilized acre receiving nitrogen, selected States</t>
  </si>
  <si>
    <t>Table 25--Percentage of wheat acreage receiving phosphate fertilizer, selected States</t>
  </si>
  <si>
    <t>Table 26--Phosphate used on wheat, rate per fertilized acre receiving phosphate, selected States</t>
  </si>
  <si>
    <t>Table 27--Percentage of wheat acreage receiving potash fertilizer, selected States</t>
  </si>
  <si>
    <t>Table 28--Potash used on wheat, rate per fertilized acre receiving potash, selected States</t>
  </si>
  <si>
    <t>=</t>
  </si>
  <si>
    <t xml:space="preserve">                   Item</t>
  </si>
  <si>
    <t>Dollars per planted acre</t>
  </si>
  <si>
    <t>Gross value of production</t>
  </si>
  <si>
    <t xml:space="preserve"> (excluding direct Government payments):</t>
  </si>
  <si>
    <t xml:space="preserve">  Wheat</t>
  </si>
  <si>
    <t xml:space="preserve">  Wheat straw</t>
  </si>
  <si>
    <t xml:space="preserve">    Total, gross value of production</t>
  </si>
  <si>
    <t>Cash expenses:</t>
  </si>
  <si>
    <t xml:space="preserve">  Seed</t>
  </si>
  <si>
    <t xml:space="preserve">  Fertilizer, lime, and gypsum</t>
  </si>
  <si>
    <t xml:space="preserve">  Chemicals</t>
  </si>
  <si>
    <t xml:space="preserve">  Custom operations  </t>
  </si>
  <si>
    <t xml:space="preserve">  Fuel, lube, and electricity</t>
  </si>
  <si>
    <t xml:space="preserve">  Repairs</t>
  </si>
  <si>
    <t xml:space="preserve">  Hired labor</t>
  </si>
  <si>
    <t xml:space="preserve">  Other variable cash expenses  1/</t>
  </si>
  <si>
    <t xml:space="preserve">    Total, variable cash expenses</t>
  </si>
  <si>
    <t xml:space="preserve">  General farm overhead</t>
  </si>
  <si>
    <t xml:space="preserve">  Taxes and insurance</t>
  </si>
  <si>
    <t xml:space="preserve">  Interest </t>
  </si>
  <si>
    <t xml:space="preserve">    Total, fixed cash expenses</t>
  </si>
  <si>
    <t xml:space="preserve">      Total, cash expenses</t>
  </si>
  <si>
    <t>Harvest-period price (dollars/bu.)</t>
  </si>
  <si>
    <t>Yield (bu./planted acre)</t>
  </si>
  <si>
    <t>Economic (full ownership) costs:</t>
  </si>
  <si>
    <t xml:space="preserve">  Variable cash expenses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</si>
  <si>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</si>
  <si>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</si>
  <si>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</si>
  <si>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</si>
  <si>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</t>
  </si>
  <si>
    <t xml:space="preserve">    Total, economic costs</t>
  </si>
  <si>
    <t>Residual returns to management and risk</t>
  </si>
  <si>
    <t>1/  Cost of purchased irrigation water and baling.   Note:  Survey base changed in 1989 and 1994.</t>
  </si>
  <si>
    <t xml:space="preserve">  Dollars per planted acre</t>
  </si>
  <si>
    <t xml:space="preserve">  Wheat straw  1/</t>
  </si>
  <si>
    <t xml:space="preserve">  Custom operations  2/</t>
  </si>
  <si>
    <t xml:space="preserve">  Other variable cash expenses  3/</t>
  </si>
  <si>
    <t>Gross value of production less cash expenses</t>
  </si>
  <si>
    <t xml:space="preserve">  Wheat straw and grazing  1/</t>
  </si>
  <si>
    <t xml:space="preserve">  Residual returns to management and risk</t>
  </si>
  <si>
    <t>1/ Includes  value of wheat grazing before 1985.  2/ Includes cost of technical services.</t>
  </si>
  <si>
    <t>USDA historical estimates of wheat production cash costs, economic costs, and returns</t>
  </si>
  <si>
    <t>Nov</t>
  </si>
  <si>
    <t>http://www.nass.usda.gov/ok/</t>
  </si>
  <si>
    <t>Worksheet that contains historical wheat yields, wheat prices, and stocker steer prices</t>
  </si>
  <si>
    <t xml:space="preserve">      USDA Historical Wheat Cost of Production Estimates</t>
  </si>
  <si>
    <t xml:space="preserve">This sheet contains USDA historical estimates of wheat </t>
  </si>
  <si>
    <t>production costs and returns 1989-96 and 1975-88.</t>
  </si>
  <si>
    <t>Source:</t>
  </si>
  <si>
    <t>http://mann77.mannlib.cornell.edu/data-sets/inputs/9X171/97171/agch0997.txt</t>
  </si>
  <si>
    <t>1988-97 avg</t>
  </si>
  <si>
    <t>1993-97 avg</t>
  </si>
  <si>
    <t>1988-97 min</t>
  </si>
  <si>
    <t>1988-97 max</t>
  </si>
  <si>
    <t>AnhyNH4</t>
  </si>
  <si>
    <t>Amn.Nitra</t>
  </si>
  <si>
    <t>DAmn.Pho</t>
  </si>
  <si>
    <t>Trip.Sphos</t>
  </si>
  <si>
    <t>82-0-0</t>
  </si>
  <si>
    <t>33-0-0</t>
  </si>
  <si>
    <t>18-46-0</t>
  </si>
  <si>
    <t>0-45-0</t>
  </si>
  <si>
    <t>Apr.1987</t>
  </si>
  <si>
    <t>Oct.1987</t>
  </si>
  <si>
    <t>Apr.1988</t>
  </si>
  <si>
    <t>Oct.1988</t>
  </si>
  <si>
    <t>Apr.1989</t>
  </si>
  <si>
    <t>Oct.1989</t>
  </si>
  <si>
    <t>Apr.1990</t>
  </si>
  <si>
    <t>Oct.1990</t>
  </si>
  <si>
    <t>Apr.1991</t>
  </si>
  <si>
    <t>Oct.1991</t>
  </si>
  <si>
    <t>Apr.1992</t>
  </si>
  <si>
    <t>Oct.1992</t>
  </si>
  <si>
    <t>Apr.1993</t>
  </si>
  <si>
    <t>weighted</t>
  </si>
  <si>
    <t>$/lb N</t>
  </si>
  <si>
    <t>$/lb P2O5</t>
  </si>
  <si>
    <t>(50-50)</t>
  </si>
  <si>
    <t>Texas</t>
  </si>
  <si>
    <t>Blaine</t>
  </si>
  <si>
    <t>Kiowa</t>
  </si>
  <si>
    <t>Grant</t>
  </si>
  <si>
    <t>Kingfisher</t>
  </si>
  <si>
    <t>Hrs/hd</t>
  </si>
  <si>
    <t>Feed/Check</t>
  </si>
  <si>
    <t>Misc.</t>
  </si>
  <si>
    <t>Receiving</t>
  </si>
  <si>
    <t>WHEAT PRODUCTION DATA</t>
  </si>
  <si>
    <t>STOCKER PRODUCTION:  SPRING GRAZING (GRAZEOUT)  DATA</t>
  </si>
  <si>
    <t>Fall-winter ADG (lb/hd/day)</t>
  </si>
  <si>
    <t>Grazeout ADG (lb/hd/day)</t>
  </si>
  <si>
    <t>Receiving Program ADG  (lb/hd/day)</t>
  </si>
  <si>
    <t>Days on Receiving Program</t>
  </si>
  <si>
    <t xml:space="preserve"> (lb/hd/day)</t>
  </si>
  <si>
    <t>-------------------County Average Wheat Grain Yields---------------------</t>
  </si>
  <si>
    <t>------------------Prices received by Oklahoma producers-------------------------------------</t>
  </si>
  <si>
    <t>STOCKER PRODUCTION:  FALL-WINTER GRAZING DATA</t>
  </si>
  <si>
    <t>Days on Fall-Winter Pasture</t>
  </si>
  <si>
    <t>Wheat and Wheat-Stocker Production Planner</t>
  </si>
  <si>
    <t xml:space="preserve"> ANNUAL</t>
  </si>
  <si>
    <t>Implicit</t>
  </si>
  <si>
    <t>Deflator of</t>
  </si>
  <si>
    <t>the GDP</t>
  </si>
  <si>
    <t>6.8*Mar$ -</t>
  </si>
  <si>
    <t>4.5*Nov$</t>
  </si>
  <si>
    <t>Gross Value</t>
  </si>
  <si>
    <t>N-P205-K2O</t>
  </si>
  <si>
    <t>Winter Wheat:  Agricultural Chemical Applications</t>
  </si>
  <si>
    <t>Oklahoma 1996 1/</t>
  </si>
  <si>
    <t>Agricultural</t>
  </si>
  <si>
    <t>Chemical</t>
  </si>
  <si>
    <t>Area Applied</t>
  </si>
  <si>
    <t>Percent</t>
  </si>
  <si>
    <t>Number</t>
  </si>
  <si>
    <t>1000 Lbs.</t>
  </si>
  <si>
    <t>Rate per</t>
  </si>
  <si>
    <t>Application</t>
  </si>
  <si>
    <t>Crop Year</t>
  </si>
  <si>
    <t>Total</t>
  </si>
  <si>
    <t>Applied</t>
  </si>
  <si>
    <t>Herbicides</t>
  </si>
  <si>
    <t>2, 4-D</t>
  </si>
  <si>
    <t>Chlorsulfuron</t>
  </si>
  <si>
    <t>Metsulfuron-Methyl</t>
  </si>
  <si>
    <t>Insecticides</t>
  </si>
  <si>
    <t>Dimethoate</t>
  </si>
  <si>
    <t>Methyl Parathion</t>
  </si>
  <si>
    <t>Applications</t>
  </si>
  <si>
    <t>Pounds per Acre</t>
  </si>
  <si>
    <t>1/  Harvested acres in 1996 for Oklahoma were 4.90 million acres.</t>
  </si>
  <si>
    <t>Rates</t>
  </si>
  <si>
    <t>Bank Prime Rate on Short-Term Business Loans</t>
  </si>
  <si>
    <t>In Pounds</t>
  </si>
  <si>
    <t>Average 1994-98</t>
  </si>
  <si>
    <t>U.S. Annual Fertilizer Prices 1987-1997</t>
  </si>
  <si>
    <t>Average U.S. Annual Fertilizer Prices 1987-1997</t>
  </si>
  <si>
    <t>1987-97 avg</t>
  </si>
  <si>
    <t>1992-97 avg</t>
  </si>
  <si>
    <t>1987-97 min</t>
  </si>
  <si>
    <t>1987-97 max</t>
  </si>
  <si>
    <t>Worksheet that contains historical estimates of fertilizer prices and use</t>
  </si>
  <si>
    <t>of 230# of</t>
  </si>
  <si>
    <t>Steer Gain</t>
  </si>
  <si>
    <t>$/head</t>
  </si>
  <si>
    <t>If 2ac/st</t>
  </si>
  <si>
    <t>of Wheat</t>
  </si>
  <si>
    <t>Nominal</t>
  </si>
  <si>
    <t xml:space="preserve">USDA </t>
  </si>
  <si>
    <t>Estimates</t>
  </si>
  <si>
    <t>Cash Cost</t>
  </si>
  <si>
    <t>of Production</t>
  </si>
  <si>
    <t>Predicted dual-purpose winter wheat grain yield by</t>
  </si>
  <si>
    <t>Lahoma, Oklahoma, 1991-1997.</t>
  </si>
  <si>
    <t>planting date, from research trials conducted at</t>
  </si>
  <si>
    <t>Planting Date</t>
  </si>
  <si>
    <t>Yield (bu/a)</t>
  </si>
  <si>
    <t>Relative Yield</t>
  </si>
  <si>
    <t>Estimated</t>
  </si>
  <si>
    <t>Only</t>
  </si>
  <si>
    <t>Yield</t>
  </si>
  <si>
    <t>(2/1.9) * Ok</t>
  </si>
  <si>
    <t>(.9* g-o yld)</t>
  </si>
  <si>
    <t>Gross</t>
  </si>
  <si>
    <t>Value of</t>
  </si>
  <si>
    <t xml:space="preserve">minus </t>
  </si>
  <si>
    <t>USDA cash</t>
  </si>
  <si>
    <t>costs</t>
  </si>
  <si>
    <t>The objective of this program is to enable the comparison of alternative winter wheat</t>
  </si>
  <si>
    <t xml:space="preserve">expected economic consequences from wheat produced for grain only, forage only,  </t>
  </si>
  <si>
    <t>Department of Agricultural Economics</t>
  </si>
  <si>
    <t xml:space="preserve">  Misc Leasing Expenses</t>
  </si>
  <si>
    <t>Planted Early (Not Grazed)</t>
  </si>
  <si>
    <t>Forage Only (¢/lb Gain Lease)</t>
  </si>
  <si>
    <t xml:space="preserve"> Vet &amp; Med Exp ($/hd)</t>
  </si>
  <si>
    <t xml:space="preserve"> Mach &amp; Equip ($/hd)</t>
  </si>
  <si>
    <t xml:space="preserve">  Vet &amp; Med Exp ($/hd)</t>
  </si>
  <si>
    <t xml:space="preserve">  Mach &amp; Equip ($/hd)</t>
  </si>
  <si>
    <t xml:space="preserve"> Misc Expense ($/hd)</t>
  </si>
  <si>
    <t xml:space="preserve"> Misc Leasing Exp ($/hd)</t>
  </si>
  <si>
    <t xml:space="preserve">  Misc Exp ($/hd)</t>
  </si>
  <si>
    <t xml:space="preserve">  Misc Leasing Exp ($/hd)</t>
  </si>
  <si>
    <t>production systems.  The program is designed to enable a wheat producer to compare the</t>
  </si>
  <si>
    <t xml:space="preserve">In cooperation with the </t>
  </si>
  <si>
    <t>Departments of Animal Science and Plant and Soil Sciences</t>
  </si>
  <si>
    <t xml:space="preserve">Oklahoma State University </t>
  </si>
  <si>
    <t>Mach fuel, lube, repairs ($/ac)</t>
  </si>
  <si>
    <t xml:space="preserve">Days on Grazeout </t>
  </si>
  <si>
    <t>Forage Only Stocker Sell Price ($/lb)</t>
  </si>
  <si>
    <t>Added Death Loss (%)</t>
  </si>
  <si>
    <t>Oklahoma Agricultural Statistics Service on the world wide web at:</t>
  </si>
  <si>
    <t>$/ton</t>
  </si>
  <si>
    <t>Wheat production cash costs and returns, Central and Southern Plains, 1989-97</t>
  </si>
  <si>
    <t>Wheat production economic costs and returns, Central and Southern Plains, 1989-97</t>
  </si>
  <si>
    <t>Wheat production economic costs and returns, Southern Plains, 1975-88</t>
  </si>
  <si>
    <t>Wheat production cash costs and returns, Southern Plains, 1975-88</t>
  </si>
  <si>
    <t>1975-97 ave residual return to management and risk</t>
  </si>
  <si>
    <t>1988-97 ave residual return to management and risk</t>
  </si>
  <si>
    <t>1975-97 avg gross value of production less cash expenses</t>
  </si>
  <si>
    <t>1988-97 avg gross value of production less cash expenses</t>
  </si>
  <si>
    <t xml:space="preserve">   Herbicide ($/appl)</t>
  </si>
  <si>
    <t xml:space="preserve">   Insecticide ($/appl)</t>
  </si>
  <si>
    <t>Forage +</t>
  </si>
  <si>
    <t>Herbicide (appl)</t>
  </si>
  <si>
    <t>Insecticide (appl)</t>
  </si>
  <si>
    <t>or for forage plus grain.  The program contains several worksheets.</t>
  </si>
  <si>
    <t>Forage + Grn ($/cwt/m Lease)</t>
  </si>
  <si>
    <t>Forage + Grn (¢/lb Gain Lease)</t>
  </si>
  <si>
    <t>Forage + Grain  (Own Cattle)</t>
  </si>
  <si>
    <t>For + Grn Stocker Sell Price  ($/lb)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</si>
</sst>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_)"/>
    <numFmt numFmtId="167" formatCode="0.0_)"/>
    <numFmt numFmtId="168" formatCode="0.0"/>
    <numFmt numFmtId="169" formatCode="0.000"/>
    <numFmt numFmtId="170" formatCode="0.0000"/>
    <numFmt numFmtId="171" formatCode="0.0000000000"/>
    <numFmt numFmtId="172" formatCode="&quot;$&quot;#,##0"/>
    <numFmt numFmtId="173" formatCode="&quot;$&quot;#,##0.00"/>
    <numFmt numFmtId="174" formatCode="m/d"/>
    <numFmt numFmtId="175" formatCode="yyyy"/>
  </numFmts>
  <fonts count="35">
    <font>
      <sz val="10"/>
      <name val="Courier"/>
      <family val="0"/>
    </font>
    <font>
      <sz val="10"/>
      <name val="Times New Roman"/>
      <family val="0"/>
    </font>
    <font>
      <b/>
      <sz val="17.25"/>
      <name val="Times New Roman"/>
      <family val="0"/>
    </font>
    <font>
      <sz val="17.25"/>
      <name val="Times New Roman"/>
      <family val="0"/>
    </font>
    <font>
      <sz val="18.25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u val="single"/>
      <sz val="12"/>
      <color indexed="8"/>
      <name val="Arial"/>
      <family val="2"/>
    </font>
    <font>
      <sz val="12"/>
      <color indexed="12"/>
      <name val="Courier"/>
      <family val="3"/>
    </font>
    <font>
      <sz val="10"/>
      <color indexed="12"/>
      <name val="Courier"/>
      <family val="3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Courie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2">
    <xf numFmtId="164" fontId="0" fillId="0" borderId="0" xfId="0" applyAlignment="1">
      <alignment/>
    </xf>
    <xf numFmtId="174" fontId="15" fillId="2" borderId="0" xfId="0" applyNumberFormat="1" applyFont="1" applyFill="1" applyBorder="1" applyAlignment="1">
      <alignment/>
    </xf>
    <xf numFmtId="164" fontId="15" fillId="2" borderId="0" xfId="0" applyFont="1" applyFill="1" applyBorder="1" applyAlignment="1">
      <alignment/>
    </xf>
    <xf numFmtId="164" fontId="15" fillId="2" borderId="0" xfId="0" applyFont="1" applyFill="1" applyAlignment="1">
      <alignment/>
    </xf>
    <xf numFmtId="16" fontId="15" fillId="2" borderId="0" xfId="0" applyNumberFormat="1" applyFont="1" applyFill="1" applyBorder="1" applyAlignment="1">
      <alignment/>
    </xf>
    <xf numFmtId="9" fontId="15" fillId="2" borderId="0" xfId="0" applyNumberFormat="1" applyFont="1" applyFill="1" applyBorder="1" applyAlignment="1">
      <alignment/>
    </xf>
    <xf numFmtId="1" fontId="15" fillId="2" borderId="0" xfId="0" applyNumberFormat="1" applyFont="1" applyFill="1" applyBorder="1" applyAlignment="1">
      <alignment/>
    </xf>
    <xf numFmtId="16" fontId="15" fillId="2" borderId="1" xfId="0" applyNumberFormat="1" applyFont="1" applyFill="1" applyBorder="1" applyAlignment="1">
      <alignment/>
    </xf>
    <xf numFmtId="164" fontId="15" fillId="2" borderId="1" xfId="0" applyFont="1" applyFill="1" applyBorder="1" applyAlignment="1">
      <alignment/>
    </xf>
    <xf numFmtId="1" fontId="15" fillId="2" borderId="1" xfId="0" applyNumberFormat="1" applyFont="1" applyFill="1" applyBorder="1" applyAlignment="1">
      <alignment/>
    </xf>
    <xf numFmtId="164" fontId="15" fillId="2" borderId="1" xfId="0" applyFont="1" applyFill="1" applyBorder="1" applyAlignment="1">
      <alignment horizontal="right"/>
    </xf>
    <xf numFmtId="1" fontId="15" fillId="2" borderId="1" xfId="0" applyNumberFormat="1" applyFont="1" applyFill="1" applyBorder="1" applyAlignment="1">
      <alignment horizontal="right"/>
    </xf>
    <xf numFmtId="9" fontId="15" fillId="2" borderId="1" xfId="0" applyNumberFormat="1" applyFont="1" applyFill="1" applyBorder="1" applyAlignment="1">
      <alignment horizontal="right"/>
    </xf>
    <xf numFmtId="164" fontId="16" fillId="0" borderId="2" xfId="0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6" fillId="0" borderId="3" xfId="0" applyFont="1" applyBorder="1" applyAlignment="1">
      <alignment/>
    </xf>
    <xf numFmtId="164" fontId="19" fillId="0" borderId="0" xfId="0" applyFont="1" applyAlignment="1">
      <alignment/>
    </xf>
    <xf numFmtId="164" fontId="19" fillId="3" borderId="0" xfId="0" applyFont="1" applyFill="1" applyAlignment="1">
      <alignment/>
    </xf>
    <xf numFmtId="164" fontId="16" fillId="3" borderId="0" xfId="0" applyFont="1" applyFill="1" applyAlignment="1">
      <alignment/>
    </xf>
    <xf numFmtId="164" fontId="20" fillId="0" borderId="0" xfId="0" applyFont="1" applyAlignment="1">
      <alignment horizontal="left"/>
    </xf>
    <xf numFmtId="164" fontId="16" fillId="2" borderId="0" xfId="0" applyFont="1" applyFill="1" applyAlignment="1">
      <alignment/>
    </xf>
    <xf numFmtId="164" fontId="16" fillId="0" borderId="0" xfId="0" applyFont="1" applyBorder="1" applyAlignment="1">
      <alignment/>
    </xf>
    <xf numFmtId="164" fontId="15" fillId="0" borderId="0" xfId="0" applyFont="1" applyAlignment="1">
      <alignment/>
    </xf>
    <xf numFmtId="7" fontId="16" fillId="0" borderId="0" xfId="0" applyNumberFormat="1" applyFont="1" applyAlignment="1" applyProtection="1">
      <alignment horizontal="left"/>
      <protection/>
    </xf>
    <xf numFmtId="164" fontId="15" fillId="0" borderId="0" xfId="0" applyFont="1" applyAlignment="1" quotePrefix="1">
      <alignment/>
    </xf>
    <xf numFmtId="164" fontId="11" fillId="0" borderId="0" xfId="0" applyFont="1" applyAlignment="1" applyProtection="1">
      <alignment horizontal="left"/>
      <protection/>
    </xf>
    <xf numFmtId="7" fontId="11" fillId="0" borderId="0" xfId="0" applyNumberFormat="1" applyFont="1" applyAlignment="1" applyProtection="1">
      <alignment horizontal="left"/>
      <protection/>
    </xf>
    <xf numFmtId="164" fontId="21" fillId="0" borderId="0" xfId="0" applyFont="1" applyBorder="1" applyAlignment="1">
      <alignment horizontal="right"/>
    </xf>
    <xf numFmtId="165" fontId="21" fillId="0" borderId="0" xfId="0" applyNumberFormat="1" applyFont="1" applyAlignment="1" applyProtection="1">
      <alignment/>
      <protection locked="0"/>
    </xf>
    <xf numFmtId="164" fontId="16" fillId="0" borderId="0" xfId="0" applyFont="1" applyAlignment="1">
      <alignment horizontal="center"/>
    </xf>
    <xf numFmtId="2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9" fillId="0" borderId="0" xfId="0" applyFont="1" applyAlignment="1" applyProtection="1">
      <alignment horizontal="left"/>
      <protection/>
    </xf>
    <xf numFmtId="164" fontId="19" fillId="0" borderId="0" xfId="0" applyNumberFormat="1" applyFont="1" applyAlignment="1" applyProtection="1">
      <alignment/>
      <protection/>
    </xf>
    <xf numFmtId="164" fontId="19" fillId="0" borderId="0" xfId="0" applyFont="1" applyAlignment="1" applyProtection="1">
      <alignment horizontal="right"/>
      <protection/>
    </xf>
    <xf numFmtId="164" fontId="22" fillId="0" borderId="0" xfId="0" applyFont="1" applyAlignment="1" applyProtection="1">
      <alignment/>
      <protection locked="0"/>
    </xf>
    <xf numFmtId="164" fontId="19" fillId="0" borderId="0" xfId="0" applyNumberFormat="1" applyFont="1" applyAlignment="1" applyProtection="1">
      <alignment horizontal="left"/>
      <protection/>
    </xf>
    <xf numFmtId="164" fontId="19" fillId="0" borderId="0" xfId="0" applyFont="1" applyAlignment="1" applyProtection="1">
      <alignment/>
      <protection/>
    </xf>
    <xf numFmtId="37" fontId="19" fillId="0" borderId="0" xfId="0" applyNumberFormat="1" applyFont="1" applyAlignment="1" applyProtection="1">
      <alignment/>
      <protection/>
    </xf>
    <xf numFmtId="164" fontId="16" fillId="0" borderId="0" xfId="0" applyFont="1" applyAlignment="1" applyProtection="1">
      <alignment horizontal="left"/>
      <protection/>
    </xf>
    <xf numFmtId="164" fontId="16" fillId="0" borderId="0" xfId="0" applyNumberFormat="1" applyFont="1" applyAlignment="1" applyProtection="1">
      <alignment/>
      <protection/>
    </xf>
    <xf numFmtId="164" fontId="16" fillId="0" borderId="0" xfId="0" applyFont="1" applyAlignment="1" applyProtection="1">
      <alignment horizontal="right"/>
      <protection/>
    </xf>
    <xf numFmtId="164" fontId="21" fillId="0" borderId="0" xfId="0" applyFont="1" applyAlignment="1" applyProtection="1">
      <alignment/>
      <protection locked="0"/>
    </xf>
    <xf numFmtId="164" fontId="16" fillId="0" borderId="0" xfId="0" applyNumberFormat="1" applyFont="1" applyAlignment="1" applyProtection="1">
      <alignment horizontal="left"/>
      <protection/>
    </xf>
    <xf numFmtId="164" fontId="16" fillId="0" borderId="0" xfId="0" applyFont="1" applyAlignment="1" applyProtection="1">
      <alignment/>
      <protection/>
    </xf>
    <xf numFmtId="164" fontId="16" fillId="0" borderId="0" xfId="0" applyFont="1" applyAlignment="1" applyProtection="1" quotePrefix="1">
      <alignment horizontal="left"/>
      <protection/>
    </xf>
    <xf numFmtId="37" fontId="16" fillId="0" borderId="0" xfId="0" applyNumberFormat="1" applyFont="1" applyAlignment="1" applyProtection="1">
      <alignment/>
      <protection/>
    </xf>
    <xf numFmtId="164" fontId="19" fillId="0" borderId="0" xfId="0" applyFont="1" applyBorder="1" applyAlignment="1">
      <alignment/>
    </xf>
    <xf numFmtId="164" fontId="11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Border="1" applyAlignment="1" applyProtection="1">
      <alignment horizontal="left"/>
      <protection/>
    </xf>
    <xf numFmtId="164" fontId="22" fillId="0" borderId="4" xfId="0" applyNumberFormat="1" applyFont="1" applyBorder="1" applyAlignment="1" applyProtection="1">
      <alignment/>
      <protection locked="0"/>
    </xf>
    <xf numFmtId="165" fontId="22" fillId="0" borderId="4" xfId="0" applyNumberFormat="1" applyFont="1" applyBorder="1" applyAlignment="1" applyProtection="1">
      <alignment/>
      <protection locked="0"/>
    </xf>
    <xf numFmtId="169" fontId="22" fillId="0" borderId="4" xfId="0" applyNumberFormat="1" applyFont="1" applyBorder="1" applyAlignment="1" applyProtection="1">
      <alignment/>
      <protection locked="0"/>
    </xf>
    <xf numFmtId="164" fontId="22" fillId="0" borderId="4" xfId="0" applyFont="1" applyBorder="1" applyAlignment="1" applyProtection="1">
      <alignment/>
      <protection locked="0"/>
    </xf>
    <xf numFmtId="164" fontId="22" fillId="0" borderId="4" xfId="0" applyFont="1" applyBorder="1" applyAlignment="1" applyProtection="1">
      <alignment horizontal="right"/>
      <protection locked="0"/>
    </xf>
    <xf numFmtId="164" fontId="22" fillId="0" borderId="0" xfId="0" applyNumberFormat="1" applyFont="1" applyAlignment="1" applyProtection="1">
      <alignment/>
      <protection locked="0"/>
    </xf>
    <xf numFmtId="164" fontId="19" fillId="0" borderId="0" xfId="0" applyFont="1" applyAlignment="1">
      <alignment horizontal="left"/>
    </xf>
    <xf numFmtId="164" fontId="19" fillId="0" borderId="0" xfId="0" applyFont="1" applyAlignment="1" applyProtection="1">
      <alignment horizontal="center"/>
      <protection/>
    </xf>
    <xf numFmtId="37" fontId="19" fillId="0" borderId="0" xfId="0" applyNumberFormat="1" applyFont="1" applyAlignment="1" applyProtection="1">
      <alignment horizontal="right"/>
      <protection/>
    </xf>
    <xf numFmtId="5" fontId="19" fillId="0" borderId="0" xfId="0" applyNumberFormat="1" applyFont="1" applyAlignment="1" applyProtection="1">
      <alignment/>
      <protection/>
    </xf>
    <xf numFmtId="164" fontId="19" fillId="0" borderId="0" xfId="0" applyFont="1" applyAlignment="1">
      <alignment horizontal="right"/>
    </xf>
    <xf numFmtId="167" fontId="19" fillId="0" borderId="0" xfId="0" applyNumberFormat="1" applyFont="1" applyAlignment="1" applyProtection="1">
      <alignment/>
      <protection/>
    </xf>
    <xf numFmtId="165" fontId="19" fillId="0" borderId="0" xfId="0" applyNumberFormat="1" applyFont="1" applyAlignment="1" applyProtection="1">
      <alignment/>
      <protection/>
    </xf>
    <xf numFmtId="164" fontId="22" fillId="0" borderId="0" xfId="0" applyFont="1" applyAlignment="1" applyProtection="1">
      <alignment horizontal="left"/>
      <protection locked="0"/>
    </xf>
    <xf numFmtId="164" fontId="19" fillId="0" borderId="0" xfId="0" applyFont="1" applyAlignment="1" applyProtection="1">
      <alignment horizontal="fill"/>
      <protection/>
    </xf>
    <xf numFmtId="164" fontId="22" fillId="0" borderId="0" xfId="0" applyFont="1" applyAlignment="1" applyProtection="1">
      <alignment horizontal="right"/>
      <protection locked="0"/>
    </xf>
    <xf numFmtId="9" fontId="22" fillId="0" borderId="0" xfId="0" applyNumberFormat="1" applyFont="1" applyAlignment="1" applyProtection="1">
      <alignment/>
      <protection locked="0"/>
    </xf>
    <xf numFmtId="167" fontId="22" fillId="0" borderId="0" xfId="0" applyNumberFormat="1" applyFont="1" applyAlignment="1" applyProtection="1">
      <alignment horizontal="left"/>
      <protection locked="0"/>
    </xf>
    <xf numFmtId="7" fontId="22" fillId="0" borderId="0" xfId="0" applyNumberFormat="1" applyFont="1" applyAlignment="1" applyProtection="1">
      <alignment horizontal="left"/>
      <protection locked="0"/>
    </xf>
    <xf numFmtId="5" fontId="19" fillId="0" borderId="0" xfId="0" applyNumberFormat="1" applyFont="1" applyAlignment="1" applyProtection="1">
      <alignment horizontal="left"/>
      <protection/>
    </xf>
    <xf numFmtId="7" fontId="19" fillId="0" borderId="0" xfId="0" applyNumberFormat="1" applyFont="1" applyAlignment="1" applyProtection="1">
      <alignment horizontal="left"/>
      <protection/>
    </xf>
    <xf numFmtId="7" fontId="19" fillId="0" borderId="0" xfId="0" applyNumberFormat="1" applyFont="1" applyAlignment="1" applyProtection="1">
      <alignment/>
      <protection/>
    </xf>
    <xf numFmtId="10" fontId="19" fillId="0" borderId="0" xfId="0" applyNumberFormat="1" applyFont="1" applyAlignment="1" applyProtection="1">
      <alignment/>
      <protection/>
    </xf>
    <xf numFmtId="166" fontId="22" fillId="0" borderId="0" xfId="0" applyNumberFormat="1" applyFont="1" applyAlignment="1" applyProtection="1">
      <alignment/>
      <protection locked="0"/>
    </xf>
    <xf numFmtId="37" fontId="19" fillId="0" borderId="0" xfId="0" applyNumberFormat="1" applyFont="1" applyAlignment="1" applyProtection="1">
      <alignment horizontal="left"/>
      <protection/>
    </xf>
    <xf numFmtId="164" fontId="15" fillId="0" borderId="0" xfId="0" applyNumberFormat="1" applyFont="1" applyAlignment="1" applyProtection="1">
      <alignment horizontal="right"/>
      <protection/>
    </xf>
    <xf numFmtId="7" fontId="11" fillId="0" borderId="0" xfId="0" applyNumberFormat="1" applyFont="1" applyBorder="1" applyAlignment="1" applyProtection="1">
      <alignment horizontal="left"/>
      <protection/>
    </xf>
    <xf numFmtId="165" fontId="22" fillId="0" borderId="4" xfId="0" applyNumberFormat="1" applyFont="1" applyBorder="1" applyAlignment="1" applyProtection="1">
      <alignment horizontal="right"/>
      <protection locked="0"/>
    </xf>
    <xf numFmtId="2" fontId="22" fillId="0" borderId="4" xfId="0" applyNumberFormat="1" applyFont="1" applyBorder="1" applyAlignment="1" applyProtection="1">
      <alignment horizontal="right"/>
      <protection locked="0"/>
    </xf>
    <xf numFmtId="164" fontId="19" fillId="0" borderId="0" xfId="0" applyNumberFormat="1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 horizontal="center"/>
      <protection/>
    </xf>
    <xf numFmtId="165" fontId="22" fillId="0" borderId="0" xfId="0" applyNumberFormat="1" applyFont="1" applyBorder="1" applyAlignment="1" applyProtection="1">
      <alignment/>
      <protection locked="0"/>
    </xf>
    <xf numFmtId="165" fontId="22" fillId="0" borderId="5" xfId="0" applyNumberFormat="1" applyFont="1" applyBorder="1" applyAlignment="1" applyProtection="1">
      <alignment/>
      <protection locked="0"/>
    </xf>
    <xf numFmtId="164" fontId="22" fillId="0" borderId="5" xfId="0" applyNumberFormat="1" applyFont="1" applyBorder="1" applyAlignment="1" applyProtection="1">
      <alignment/>
      <protection locked="0"/>
    </xf>
    <xf numFmtId="164" fontId="19" fillId="4" borderId="6" xfId="0" applyFont="1" applyFill="1" applyBorder="1" applyAlignment="1">
      <alignment/>
    </xf>
    <xf numFmtId="164" fontId="19" fillId="4" borderId="6" xfId="0" applyNumberFormat="1" applyFont="1" applyFill="1" applyBorder="1" applyAlignment="1" applyProtection="1">
      <alignment/>
      <protection/>
    </xf>
    <xf numFmtId="164" fontId="19" fillId="4" borderId="7" xfId="0" applyFont="1" applyFill="1" applyBorder="1" applyAlignment="1">
      <alignment/>
    </xf>
    <xf numFmtId="164" fontId="11" fillId="0" borderId="0" xfId="0" applyNumberFormat="1" applyFont="1" applyAlignment="1" applyProtection="1">
      <alignment horizontal="left"/>
      <protection/>
    </xf>
    <xf numFmtId="164" fontId="19" fillId="0" borderId="0" xfId="0" applyFont="1" applyAlignment="1" quotePrefix="1">
      <alignment/>
    </xf>
    <xf numFmtId="164" fontId="23" fillId="0" borderId="0" xfId="0" applyFont="1" applyAlignment="1">
      <alignment/>
    </xf>
    <xf numFmtId="2" fontId="19" fillId="0" borderId="0" xfId="0" applyNumberFormat="1" applyFont="1" applyAlignment="1">
      <alignment/>
    </xf>
    <xf numFmtId="164" fontId="23" fillId="0" borderId="0" xfId="0" applyNumberFormat="1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/>
      <protection/>
    </xf>
    <xf numFmtId="164" fontId="23" fillId="0" borderId="0" xfId="0" applyFont="1" applyAlignment="1" applyProtection="1">
      <alignment horizontal="center"/>
      <protection/>
    </xf>
    <xf numFmtId="164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center"/>
      <protection/>
    </xf>
    <xf numFmtId="164" fontId="23" fillId="0" borderId="0" xfId="0" applyFont="1" applyAlignment="1" applyProtection="1">
      <alignment/>
      <protection/>
    </xf>
    <xf numFmtId="2" fontId="23" fillId="0" borderId="0" xfId="0" applyNumberFormat="1" applyFont="1" applyAlignment="1">
      <alignment/>
    </xf>
    <xf numFmtId="164" fontId="16" fillId="0" borderId="0" xfId="0" applyNumberFormat="1" applyFont="1" applyAlignment="1" applyProtection="1">
      <alignment horizontal="center"/>
      <protection/>
    </xf>
    <xf numFmtId="164" fontId="12" fillId="0" borderId="0" xfId="20" applyFont="1" applyBorder="1" applyAlignment="1">
      <alignment/>
    </xf>
    <xf numFmtId="164" fontId="24" fillId="0" borderId="0" xfId="20" applyFont="1" applyAlignment="1">
      <alignment/>
    </xf>
    <xf numFmtId="1" fontId="19" fillId="0" borderId="0" xfId="0" applyNumberFormat="1" applyFont="1" applyAlignment="1" applyProtection="1">
      <alignment/>
      <protection/>
    </xf>
    <xf numFmtId="164" fontId="19" fillId="0" borderId="0" xfId="0" applyFont="1" applyAlignment="1" quotePrefix="1">
      <alignment horizontal="right"/>
    </xf>
    <xf numFmtId="164" fontId="19" fillId="0" borderId="0" xfId="0" applyNumberFormat="1" applyFont="1" applyAlignment="1" applyProtection="1">
      <alignment horizontal="fill"/>
      <protection/>
    </xf>
    <xf numFmtId="164" fontId="26" fillId="0" borderId="0" xfId="0" applyFont="1" applyAlignment="1">
      <alignment/>
    </xf>
    <xf numFmtId="164" fontId="26" fillId="0" borderId="0" xfId="0" applyFont="1" applyAlignment="1">
      <alignment horizontal="center"/>
    </xf>
    <xf numFmtId="164" fontId="16" fillId="0" borderId="0" xfId="0" applyNumberFormat="1" applyFont="1" applyBorder="1" applyAlignment="1" applyProtection="1">
      <alignment horizontal="left"/>
      <protection/>
    </xf>
    <xf numFmtId="164" fontId="16" fillId="0" borderId="0" xfId="0" applyFont="1" applyBorder="1" applyAlignment="1" applyProtection="1">
      <alignment horizontal="left"/>
      <protection/>
    </xf>
    <xf numFmtId="7" fontId="16" fillId="0" borderId="0" xfId="0" applyNumberFormat="1" applyFont="1" applyAlignment="1" applyProtection="1">
      <alignment horizontal="center"/>
      <protection/>
    </xf>
    <xf numFmtId="164" fontId="16" fillId="0" borderId="0" xfId="0" applyFont="1" applyBorder="1" applyAlignment="1">
      <alignment horizontal="right"/>
    </xf>
    <xf numFmtId="165" fontId="21" fillId="0" borderId="0" xfId="0" applyNumberFormat="1" applyFont="1" applyBorder="1" applyAlignment="1" applyProtection="1">
      <alignment/>
      <protection locked="0"/>
    </xf>
    <xf numFmtId="164" fontId="16" fillId="0" borderId="0" xfId="0" applyNumberFormat="1" applyFont="1" applyAlignment="1" applyProtection="1">
      <alignment/>
      <protection/>
    </xf>
    <xf numFmtId="164" fontId="16" fillId="0" borderId="0" xfId="0" applyNumberFormat="1" applyFont="1" applyAlignment="1" applyProtection="1">
      <alignment horizontal="right"/>
      <protection/>
    </xf>
    <xf numFmtId="168" fontId="22" fillId="0" borderId="4" xfId="0" applyNumberFormat="1" applyFont="1" applyBorder="1" applyAlignment="1" applyProtection="1">
      <alignment horizontal="right"/>
      <protection locked="0"/>
    </xf>
    <xf numFmtId="1" fontId="22" fillId="0" borderId="4" xfId="0" applyNumberFormat="1" applyFont="1" applyBorder="1" applyAlignment="1" applyProtection="1">
      <alignment horizontal="right"/>
      <protection locked="0"/>
    </xf>
    <xf numFmtId="170" fontId="22" fillId="0" borderId="4" xfId="0" applyNumberFormat="1" applyFont="1" applyBorder="1" applyAlignment="1" applyProtection="1">
      <alignment horizontal="right"/>
      <protection locked="0"/>
    </xf>
    <xf numFmtId="168" fontId="22" fillId="0" borderId="4" xfId="0" applyNumberFormat="1" applyFont="1" applyBorder="1" applyAlignment="1" applyProtection="1">
      <alignment/>
      <protection locked="0"/>
    </xf>
    <xf numFmtId="164" fontId="16" fillId="0" borderId="0" xfId="0" applyFont="1" applyAlignment="1">
      <alignment horizontal="right"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right"/>
    </xf>
    <xf numFmtId="164" fontId="27" fillId="0" borderId="0" xfId="0" applyFont="1" applyAlignment="1">
      <alignment horizontal="right"/>
    </xf>
    <xf numFmtId="164" fontId="15" fillId="0" borderId="0" xfId="0" applyFont="1" applyAlignment="1" quotePrefix="1">
      <alignment horizontal="left"/>
    </xf>
    <xf numFmtId="164" fontId="15" fillId="0" borderId="8" xfId="0" applyFont="1" applyBorder="1" applyAlignment="1" quotePrefix="1">
      <alignment horizontal="right"/>
    </xf>
    <xf numFmtId="164" fontId="15" fillId="0" borderId="0" xfId="0" applyFont="1" applyAlignment="1" quotePrefix="1">
      <alignment horizontal="center"/>
    </xf>
    <xf numFmtId="164" fontId="16" fillId="0" borderId="0" xfId="0" applyFont="1" applyFill="1" applyAlignment="1">
      <alignment horizontal="right"/>
    </xf>
    <xf numFmtId="164" fontId="15" fillId="0" borderId="8" xfId="0" applyFont="1" applyBorder="1" applyAlignment="1">
      <alignment/>
    </xf>
    <xf numFmtId="164" fontId="15" fillId="0" borderId="0" xfId="0" applyFont="1" applyAlignment="1" quotePrefix="1">
      <alignment horizontal="right"/>
    </xf>
    <xf numFmtId="164" fontId="15" fillId="0" borderId="8" xfId="0" applyFont="1" applyBorder="1" applyAlignment="1">
      <alignment horizontal="right"/>
    </xf>
    <xf numFmtId="2" fontId="16" fillId="0" borderId="0" xfId="0" applyNumberFormat="1" applyFont="1" applyAlignment="1" applyProtection="1">
      <alignment/>
      <protection/>
    </xf>
    <xf numFmtId="2" fontId="16" fillId="0" borderId="0" xfId="0" applyNumberFormat="1" applyFont="1" applyAlignment="1" applyProtection="1">
      <alignment vertical="center"/>
      <protection/>
    </xf>
    <xf numFmtId="164" fontId="15" fillId="0" borderId="0" xfId="0" applyNumberFormat="1" applyFont="1" applyAlignment="1" applyProtection="1">
      <alignment/>
      <protection/>
    </xf>
    <xf numFmtId="1" fontId="15" fillId="0" borderId="8" xfId="0" applyNumberFormat="1" applyFont="1" applyBorder="1" applyAlignment="1" quotePrefix="1">
      <alignment/>
    </xf>
    <xf numFmtId="1" fontId="15" fillId="0" borderId="0" xfId="0" applyNumberFormat="1" applyFont="1" applyAlignment="1">
      <alignment/>
    </xf>
    <xf numFmtId="167" fontId="15" fillId="0" borderId="0" xfId="0" applyNumberFormat="1" applyFont="1" applyAlignment="1" applyProtection="1">
      <alignment/>
      <protection/>
    </xf>
    <xf numFmtId="168" fontId="15" fillId="0" borderId="0" xfId="0" applyNumberFormat="1" applyFont="1" applyAlignment="1" applyProtection="1">
      <alignment vertical="center"/>
      <protection/>
    </xf>
    <xf numFmtId="168" fontId="15" fillId="0" borderId="0" xfId="0" applyNumberFormat="1" applyFont="1" applyAlignment="1" applyProtection="1">
      <alignment/>
      <protection/>
    </xf>
    <xf numFmtId="3" fontId="15" fillId="0" borderId="8" xfId="0" applyNumberFormat="1" applyFont="1" applyBorder="1" applyAlignment="1">
      <alignment/>
    </xf>
    <xf numFmtId="3" fontId="15" fillId="0" borderId="0" xfId="0" applyNumberFormat="1" applyFont="1" applyAlignment="1" applyProtection="1">
      <alignment/>
      <protection/>
    </xf>
    <xf numFmtId="168" fontId="15" fillId="0" borderId="0" xfId="0" applyNumberFormat="1" applyFont="1" applyAlignment="1">
      <alignment/>
    </xf>
    <xf numFmtId="165" fontId="16" fillId="0" borderId="0" xfId="0" applyNumberFormat="1" applyFont="1" applyAlignment="1" applyProtection="1">
      <alignment/>
      <protection/>
    </xf>
    <xf numFmtId="2" fontId="16" fillId="0" borderId="0" xfId="0" applyNumberFormat="1" applyFont="1" applyAlignment="1">
      <alignment vertical="center"/>
    </xf>
    <xf numFmtId="168" fontId="15" fillId="0" borderId="0" xfId="0" applyNumberFormat="1" applyFont="1" applyAlignment="1">
      <alignment vertical="center"/>
    </xf>
    <xf numFmtId="2" fontId="16" fillId="0" borderId="0" xfId="0" applyNumberFormat="1" applyFont="1" applyAlignment="1" applyProtection="1">
      <alignment/>
      <protection/>
    </xf>
    <xf numFmtId="2" fontId="16" fillId="0" borderId="0" xfId="0" applyNumberFormat="1" applyFont="1" applyBorder="1" applyAlignment="1">
      <alignment vertical="center"/>
    </xf>
    <xf numFmtId="2" fontId="16" fillId="0" borderId="0" xfId="0" applyNumberFormat="1" applyFont="1" applyBorder="1" applyAlignment="1">
      <alignment horizontal="right" vertical="top" wrapText="1"/>
    </xf>
    <xf numFmtId="168" fontId="15" fillId="0" borderId="0" xfId="0" applyNumberFormat="1" applyFont="1" applyAlignment="1" applyProtection="1">
      <alignment/>
      <protection/>
    </xf>
    <xf numFmtId="2" fontId="16" fillId="0" borderId="0" xfId="0" applyNumberFormat="1" applyFont="1" applyBorder="1" applyAlignment="1">
      <alignment vertical="center" wrapText="1"/>
    </xf>
    <xf numFmtId="168" fontId="15" fillId="0" borderId="0" xfId="0" applyNumberFormat="1" applyFont="1" applyBorder="1" applyAlignment="1">
      <alignment vertical="center"/>
    </xf>
    <xf numFmtId="168" fontId="15" fillId="0" borderId="0" xfId="0" applyNumberFormat="1" applyFont="1" applyBorder="1" applyAlignment="1">
      <alignment horizontal="right" vertical="top" wrapText="1"/>
    </xf>
    <xf numFmtId="168" fontId="15" fillId="0" borderId="0" xfId="0" applyNumberFormat="1" applyFont="1" applyBorder="1" applyAlignment="1">
      <alignment vertical="center" wrapText="1"/>
    </xf>
    <xf numFmtId="164" fontId="16" fillId="0" borderId="0" xfId="0" applyFont="1" applyAlignment="1" quotePrefix="1">
      <alignment horizontal="right"/>
    </xf>
    <xf numFmtId="164" fontId="16" fillId="0" borderId="0" xfId="0" applyFont="1" applyAlignment="1">
      <alignment vertical="center"/>
    </xf>
    <xf numFmtId="3" fontId="15" fillId="0" borderId="0" xfId="0" applyNumberFormat="1" applyFont="1" applyBorder="1" applyAlignment="1">
      <alignment/>
    </xf>
    <xf numFmtId="165" fontId="15" fillId="0" borderId="0" xfId="0" applyNumberFormat="1" applyFont="1" applyAlignment="1" applyProtection="1">
      <alignment/>
      <protection/>
    </xf>
    <xf numFmtId="167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64" fontId="28" fillId="0" borderId="0" xfId="20" applyFont="1" applyAlignment="1">
      <alignment/>
    </xf>
    <xf numFmtId="164" fontId="28" fillId="0" borderId="0" xfId="20" applyFont="1" applyBorder="1" applyAlignment="1">
      <alignment vertical="center"/>
    </xf>
    <xf numFmtId="14" fontId="16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64" fontId="29" fillId="0" borderId="0" xfId="20" applyFont="1" applyAlignment="1">
      <alignment/>
    </xf>
    <xf numFmtId="164" fontId="29" fillId="0" borderId="9" xfId="20" applyFont="1" applyBorder="1" applyAlignment="1">
      <alignment/>
    </xf>
    <xf numFmtId="164" fontId="30" fillId="5" borderId="0" xfId="0" applyFont="1" applyFill="1" applyBorder="1" applyAlignment="1">
      <alignment/>
    </xf>
    <xf numFmtId="164" fontId="31" fillId="5" borderId="0" xfId="0" applyFont="1" applyFill="1" applyBorder="1" applyAlignment="1">
      <alignment/>
    </xf>
    <xf numFmtId="164" fontId="15" fillId="0" borderId="0" xfId="0" applyFont="1" applyBorder="1" applyAlignment="1">
      <alignment/>
    </xf>
    <xf numFmtId="0" fontId="28" fillId="0" borderId="0" xfId="20" applyFont="1" applyAlignment="1">
      <alignment/>
    </xf>
    <xf numFmtId="164" fontId="25" fillId="0" borderId="0" xfId="0" applyFont="1" applyAlignment="1">
      <alignment/>
    </xf>
    <xf numFmtId="164" fontId="16" fillId="0" borderId="10" xfId="0" applyFont="1" applyBorder="1" applyAlignment="1">
      <alignment/>
    </xf>
    <xf numFmtId="164" fontId="16" fillId="0" borderId="10" xfId="0" applyFont="1" applyBorder="1" applyAlignment="1">
      <alignment horizontal="center"/>
    </xf>
    <xf numFmtId="3" fontId="16" fillId="0" borderId="0" xfId="0" applyNumberFormat="1" applyFont="1" applyAlignment="1">
      <alignment/>
    </xf>
    <xf numFmtId="169" fontId="16" fillId="0" borderId="0" xfId="0" applyNumberFormat="1" applyFont="1" applyAlignment="1">
      <alignment/>
    </xf>
    <xf numFmtId="164" fontId="32" fillId="0" borderId="0" xfId="0" applyFont="1" applyAlignment="1">
      <alignment/>
    </xf>
    <xf numFmtId="10" fontId="16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" fontId="16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165" fontId="16" fillId="0" borderId="0" xfId="0" applyFont="1" applyAlignment="1">
      <alignment/>
    </xf>
    <xf numFmtId="165" fontId="25" fillId="0" borderId="0" xfId="0" applyFont="1" applyAlignment="1" applyProtection="1">
      <alignment horizontal="left"/>
      <protection/>
    </xf>
    <xf numFmtId="165" fontId="16" fillId="0" borderId="11" xfId="0" applyFont="1" applyBorder="1" applyAlignment="1" applyProtection="1">
      <alignment horizontal="center"/>
      <protection/>
    </xf>
    <xf numFmtId="165" fontId="16" fillId="0" borderId="11" xfId="0" applyFont="1" applyBorder="1" applyAlignment="1" applyProtection="1">
      <alignment horizontal="left"/>
      <protection/>
    </xf>
    <xf numFmtId="165" fontId="16" fillId="0" borderId="11" xfId="0" applyFont="1" applyBorder="1" applyAlignment="1" applyProtection="1">
      <alignment horizontal="right"/>
      <protection/>
    </xf>
    <xf numFmtId="165" fontId="16" fillId="0" borderId="11" xfId="0" applyFont="1" applyBorder="1" applyAlignment="1" applyProtection="1">
      <alignment/>
      <protection/>
    </xf>
    <xf numFmtId="165" fontId="16" fillId="0" borderId="0" xfId="0" applyFont="1" applyAlignment="1" applyProtection="1">
      <alignment horizontal="left"/>
      <protection/>
    </xf>
    <xf numFmtId="9" fontId="16" fillId="0" borderId="0" xfId="0" applyNumberFormat="1" applyFont="1" applyAlignment="1" applyProtection="1">
      <alignment/>
      <protection/>
    </xf>
    <xf numFmtId="165" fontId="16" fillId="0" borderId="10" xfId="0" applyFont="1" applyBorder="1" applyAlignment="1" applyProtection="1">
      <alignment horizontal="left"/>
      <protection/>
    </xf>
    <xf numFmtId="9" fontId="16" fillId="0" borderId="10" xfId="0" applyNumberFormat="1" applyFont="1" applyBorder="1" applyAlignment="1" applyProtection="1">
      <alignment/>
      <protection/>
    </xf>
    <xf numFmtId="165" fontId="32" fillId="0" borderId="0" xfId="0" applyFont="1" applyAlignment="1" applyProtection="1">
      <alignment horizontal="left"/>
      <protection/>
    </xf>
    <xf numFmtId="165" fontId="16" fillId="0" borderId="10" xfId="0" applyFont="1" applyBorder="1" applyAlignment="1" applyProtection="1">
      <alignment/>
      <protection/>
    </xf>
    <xf numFmtId="165" fontId="32" fillId="0" borderId="0" xfId="0" applyFont="1" applyAlignment="1">
      <alignment/>
    </xf>
    <xf numFmtId="165" fontId="16" fillId="0" borderId="0" xfId="0" applyFont="1" applyAlignment="1" applyProtection="1">
      <alignment/>
      <protection/>
    </xf>
    <xf numFmtId="164" fontId="32" fillId="0" borderId="0" xfId="0" applyFont="1" applyAlignment="1">
      <alignment horizontal="center"/>
    </xf>
    <xf numFmtId="10" fontId="16" fillId="0" borderId="0" xfId="21" applyNumberFormat="1" applyFont="1" applyAlignment="1">
      <alignment/>
    </xf>
    <xf numFmtId="164" fontId="16" fillId="0" borderId="0" xfId="0" applyFont="1" applyBorder="1" applyAlignment="1">
      <alignment horizontal="center"/>
    </xf>
    <xf numFmtId="164" fontId="33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164" fontId="25" fillId="0" borderId="0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25" fillId="0" borderId="10" xfId="0" applyFont="1" applyBorder="1" applyAlignment="1">
      <alignment horizontal="center"/>
    </xf>
    <xf numFmtId="164" fontId="24" fillId="0" borderId="0" xfId="2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Return to Land and Other Resources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5375"/>
          <c:h val="1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Results!$A$91:$A$98</c:f>
              <c:strCache/>
            </c:strRef>
          </c:cat>
          <c:val>
            <c:numRef>
              <c:f>Results!$B$91:$B$98</c:f>
              <c:numCache/>
            </c:numRef>
          </c:val>
          <c:shape val="box"/>
        </c:ser>
        <c:ser>
          <c:idx val="1"/>
          <c:order val="1"/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Results!$A$91:$A$98</c:f>
              <c:strCache/>
            </c:strRef>
          </c:cat>
          <c:val>
            <c:numRef>
              <c:f>Results!$C$91:$C$98</c:f>
              <c:numCache/>
            </c:numRef>
          </c:val>
          <c:shape val="box"/>
        </c:ser>
        <c:gapWidth val="100"/>
        <c:shape val="box"/>
        <c:axId val="43051122"/>
        <c:axId val="51915779"/>
      </c:bar3DChart>
      <c:catAx>
        <c:axId val="43051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/>
                  <a:t>Production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51915779"/>
        <c:crosses val="autoZero"/>
        <c:auto val="1"/>
        <c:lblOffset val="100"/>
        <c:noMultiLvlLbl val="0"/>
      </c:catAx>
      <c:valAx>
        <c:axId val="51915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$/acre</a:t>
                </a:r>
              </a:p>
            </c:rich>
          </c:tx>
          <c:layout>
            <c:manualLayout>
              <c:xMode val="factor"/>
              <c:yMode val="factor"/>
              <c:x val="0.03025"/>
              <c:y val="0.0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305112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solidFill/>
        </a:ln>
      </c:spPr>
      <c:thickness val="0"/>
    </c:sideWall>
    <c:backWall>
      <c:spPr>
        <a:solidFill>
          <a:srgbClr val="C0C0C0"/>
        </a:solidFill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9525</xdr:rowOff>
    </xdr:from>
    <xdr:to>
      <xdr:col>4</xdr:col>
      <xdr:colOff>0</xdr:colOff>
      <xdr:row>2</xdr:row>
      <xdr:rowOff>9525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9525"/>
          <a:ext cx="1343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24</xdr:row>
      <xdr:rowOff>142875</xdr:rowOff>
    </xdr:from>
    <xdr:to>
      <xdr:col>5</xdr:col>
      <xdr:colOff>142875</xdr:colOff>
      <xdr:row>27</xdr:row>
      <xdr:rowOff>85725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4724400"/>
          <a:ext cx="2495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38100</xdr:rowOff>
    </xdr:from>
    <xdr:to>
      <xdr:col>11</xdr:col>
      <xdr:colOff>19050</xdr:colOff>
      <xdr:row>32</xdr:row>
      <xdr:rowOff>28575</xdr:rowOff>
    </xdr:to>
    <xdr:graphicFrame>
      <xdr:nvGraphicFramePr>
        <xdr:cNvPr id="1" name="Chart 3"/>
        <xdr:cNvGraphicFramePr/>
      </xdr:nvGraphicFramePr>
      <xdr:xfrm>
        <a:off x="1571625" y="1581150"/>
        <a:ext cx="63912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66675</xdr:colOff>
      <xdr:row>19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4815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ok/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8"/>
  <sheetViews>
    <sheetView defaultGridColor="0" zoomScale="90" zoomScaleNormal="90" colorId="9" workbookViewId="0" topLeftCell="A1">
      <selection activeCell="D17" sqref="D17"/>
    </sheetView>
  </sheetViews>
  <sheetFormatPr defaultColWidth="9.00390625" defaultRowHeight="12.75"/>
  <cols>
    <col min="1" max="16384" width="9.00390625" style="14" customWidth="1"/>
  </cols>
  <sheetData>
    <row r="1" spans="1:7" ht="21" thickTop="1">
      <c r="A1" s="13"/>
      <c r="E1" s="15" t="s">
        <v>308</v>
      </c>
      <c r="F1" s="16"/>
      <c r="G1" s="16"/>
    </row>
    <row r="2" ht="13.5" thickBot="1">
      <c r="A2" s="17"/>
    </row>
    <row r="3" spans="3:10" ht="15.75" thickTop="1">
      <c r="C3" s="18" t="s">
        <v>377</v>
      </c>
      <c r="D3" s="18"/>
      <c r="E3" s="18"/>
      <c r="F3" s="18"/>
      <c r="G3" s="18"/>
      <c r="H3" s="18"/>
      <c r="I3" s="18"/>
      <c r="J3" s="18"/>
    </row>
    <row r="4" spans="3:10" ht="15">
      <c r="C4" s="18" t="s">
        <v>391</v>
      </c>
      <c r="D4" s="18"/>
      <c r="E4" s="18"/>
      <c r="F4" s="18"/>
      <c r="G4" s="18"/>
      <c r="H4" s="18"/>
      <c r="I4" s="18"/>
      <c r="J4" s="18"/>
    </row>
    <row r="5" spans="3:10" ht="15">
      <c r="C5" s="18" t="s">
        <v>378</v>
      </c>
      <c r="D5" s="18"/>
      <c r="E5" s="18"/>
      <c r="F5" s="18"/>
      <c r="G5" s="18"/>
      <c r="H5" s="18"/>
      <c r="I5" s="18"/>
      <c r="J5" s="18"/>
    </row>
    <row r="6" spans="3:10" ht="15">
      <c r="C6" s="18" t="s">
        <v>414</v>
      </c>
      <c r="D6" s="18"/>
      <c r="E6" s="18"/>
      <c r="F6" s="18"/>
      <c r="G6" s="18"/>
      <c r="H6" s="18"/>
      <c r="I6" s="18"/>
      <c r="J6" s="18"/>
    </row>
    <row r="7" spans="3:10" ht="15">
      <c r="C7" s="18" t="s">
        <v>0</v>
      </c>
      <c r="D7" s="18"/>
      <c r="E7" s="18"/>
      <c r="F7" s="18"/>
      <c r="G7" s="18"/>
      <c r="H7" s="18"/>
      <c r="I7" s="18"/>
      <c r="J7" s="18"/>
    </row>
    <row r="8" spans="3:10" ht="15">
      <c r="C8" s="18"/>
      <c r="D8" s="18"/>
      <c r="E8" s="18"/>
      <c r="F8" s="18"/>
      <c r="G8" s="18"/>
      <c r="H8" s="18"/>
      <c r="I8" s="18"/>
      <c r="J8" s="18"/>
    </row>
    <row r="9" spans="3:12" ht="15">
      <c r="C9" s="18"/>
      <c r="D9" s="19" t="s">
        <v>179</v>
      </c>
      <c r="E9" s="19"/>
      <c r="F9" s="19"/>
      <c r="G9" s="19"/>
      <c r="H9" s="19"/>
      <c r="I9" s="19"/>
      <c r="J9" s="19"/>
      <c r="K9" s="20"/>
      <c r="L9" s="20"/>
    </row>
    <row r="10" spans="9:10" ht="15">
      <c r="I10" s="18"/>
      <c r="J10" s="18"/>
    </row>
    <row r="11" spans="1:10" ht="15">
      <c r="A11" s="21"/>
      <c r="C11" s="18"/>
      <c r="D11" s="19" t="s">
        <v>177</v>
      </c>
      <c r="E11" s="19"/>
      <c r="F11" s="19"/>
      <c r="G11" s="19"/>
      <c r="H11" s="19"/>
      <c r="I11" s="18"/>
      <c r="J11" s="18"/>
    </row>
    <row r="12" ht="15">
      <c r="A12" s="21"/>
    </row>
    <row r="13" spans="1:10" ht="15">
      <c r="A13" s="21"/>
      <c r="C13" s="18"/>
      <c r="D13" s="19" t="s">
        <v>178</v>
      </c>
      <c r="E13" s="19"/>
      <c r="F13" s="19"/>
      <c r="G13" s="19"/>
      <c r="H13" s="19"/>
      <c r="I13" s="18"/>
      <c r="J13" s="18"/>
    </row>
    <row r="14" spans="1:10" ht="15">
      <c r="A14" s="21"/>
      <c r="I14" s="18"/>
      <c r="J14" s="18"/>
    </row>
    <row r="15" spans="1:10" ht="15">
      <c r="A15" s="21"/>
      <c r="D15" s="18" t="s">
        <v>253</v>
      </c>
      <c r="E15" s="18"/>
      <c r="F15" s="18"/>
      <c r="G15" s="18"/>
      <c r="H15" s="18"/>
      <c r="I15" s="18"/>
      <c r="J15" s="18"/>
    </row>
    <row r="16" spans="1:10" ht="15">
      <c r="A16" s="21"/>
      <c r="I16" s="18"/>
      <c r="J16" s="18"/>
    </row>
    <row r="17" spans="1:10" ht="15">
      <c r="A17" s="21"/>
      <c r="C17" s="18"/>
      <c r="D17" s="18"/>
      <c r="E17" s="18"/>
      <c r="F17" s="18"/>
      <c r="G17" s="18"/>
      <c r="H17" s="18"/>
      <c r="I17" s="18"/>
      <c r="J17" s="18"/>
    </row>
    <row r="18" spans="1:10" ht="15">
      <c r="A18" s="21"/>
      <c r="I18" s="18"/>
      <c r="J18" s="18"/>
    </row>
    <row r="19" spans="1:10" ht="15">
      <c r="A19" s="21"/>
      <c r="C19" s="18"/>
      <c r="D19" s="18" t="s">
        <v>250</v>
      </c>
      <c r="E19" s="18"/>
      <c r="F19" s="18"/>
      <c r="G19" s="18"/>
      <c r="H19" s="18"/>
      <c r="I19" s="18"/>
      <c r="J19" s="18"/>
    </row>
    <row r="20" spans="1:10" ht="15">
      <c r="A20" s="21"/>
      <c r="I20" s="18"/>
      <c r="J20" s="18"/>
    </row>
    <row r="21" spans="1:4" ht="15">
      <c r="A21" s="21"/>
      <c r="C21" s="18"/>
      <c r="D21" s="18" t="s">
        <v>350</v>
      </c>
    </row>
    <row r="22" spans="1:10" ht="15">
      <c r="A22" s="21"/>
      <c r="C22" s="18"/>
      <c r="E22" s="18"/>
      <c r="F22" s="18"/>
      <c r="G22" s="18"/>
      <c r="H22" s="18"/>
      <c r="I22" s="18"/>
      <c r="J22" s="18"/>
    </row>
    <row r="23" spans="1:8" ht="12.75">
      <c r="A23" s="107"/>
      <c r="B23" s="107"/>
      <c r="C23" s="107"/>
      <c r="D23" s="108" t="s">
        <v>379</v>
      </c>
      <c r="E23" s="108"/>
      <c r="F23" s="108"/>
      <c r="G23" s="108"/>
      <c r="H23" s="22"/>
    </row>
    <row r="24" spans="1:7" ht="12.75">
      <c r="A24" s="107"/>
      <c r="B24" s="107"/>
      <c r="C24" s="107"/>
      <c r="D24" s="108" t="s">
        <v>392</v>
      </c>
      <c r="E24" s="108"/>
      <c r="F24" s="108"/>
      <c r="G24" s="108"/>
    </row>
    <row r="25" spans="1:8" ht="12.75">
      <c r="A25" s="107"/>
      <c r="B25" s="107"/>
      <c r="C25" s="107"/>
      <c r="D25" s="108" t="s">
        <v>393</v>
      </c>
      <c r="E25" s="108"/>
      <c r="F25" s="108"/>
      <c r="G25" s="108"/>
      <c r="H25" s="31"/>
    </row>
    <row r="26" spans="6:8" ht="12.75">
      <c r="F26" s="31"/>
      <c r="H26" s="31"/>
    </row>
    <row r="27" ht="12.75">
      <c r="H27" s="31"/>
    </row>
    <row r="28" ht="12.75">
      <c r="H28" s="31"/>
    </row>
    <row r="29" spans="3:8" ht="12.75">
      <c r="C29" s="107"/>
      <c r="D29" s="108" t="s">
        <v>394</v>
      </c>
      <c r="E29" s="108"/>
      <c r="H29" s="31"/>
    </row>
    <row r="34" spans="7:10" ht="12.75">
      <c r="G34" s="31"/>
      <c r="H34" s="31"/>
      <c r="I34" s="31"/>
      <c r="J34" s="31"/>
    </row>
    <row r="35" ht="12.75">
      <c r="J35" s="31"/>
    </row>
    <row r="38" ht="12.75">
      <c r="C38" s="14" t="s">
        <v>0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98"/>
  <sheetViews>
    <sheetView defaultGridColor="0" zoomScale="90" zoomScaleNormal="90" colorId="9" workbookViewId="0" topLeftCell="A1">
      <selection activeCell="A1" sqref="A1"/>
    </sheetView>
  </sheetViews>
  <sheetFormatPr defaultColWidth="9.00390625" defaultRowHeight="12.75"/>
  <cols>
    <col min="1" max="1" width="11.50390625" style="14" customWidth="1"/>
    <col min="2" max="2" width="9.125" style="14" customWidth="1"/>
    <col min="3" max="3" width="9.00390625" style="14" customWidth="1"/>
    <col min="4" max="4" width="11.75390625" style="14" customWidth="1"/>
    <col min="5" max="5" width="9.00390625" style="14" customWidth="1"/>
    <col min="6" max="6" width="3.375" style="14" customWidth="1"/>
    <col min="7" max="8" width="9.00390625" style="14" customWidth="1"/>
    <col min="9" max="9" width="14.50390625" style="14" customWidth="1"/>
    <col min="10" max="16384" width="9.00390625" style="14" customWidth="1"/>
  </cols>
  <sheetData>
    <row r="1" spans="1:10" ht="15">
      <c r="A1" s="23"/>
      <c r="B1" s="14" t="s">
        <v>97</v>
      </c>
      <c r="C1" s="24"/>
      <c r="D1" s="24"/>
      <c r="E1" s="116">
        <v>40</v>
      </c>
      <c r="G1" s="14" t="s">
        <v>300</v>
      </c>
      <c r="H1" s="24"/>
      <c r="I1" s="24"/>
      <c r="J1" s="57">
        <v>2</v>
      </c>
    </row>
    <row r="2" spans="1:10" ht="15">
      <c r="A2" s="23"/>
      <c r="B2" s="14" t="s">
        <v>98</v>
      </c>
      <c r="C2" s="24"/>
      <c r="D2" s="24"/>
      <c r="E2" s="116">
        <v>36</v>
      </c>
      <c r="G2" s="14" t="s">
        <v>119</v>
      </c>
      <c r="H2" s="24"/>
      <c r="I2" s="24"/>
      <c r="J2" s="57">
        <v>0.5</v>
      </c>
    </row>
    <row r="3" spans="1:10" ht="15">
      <c r="A3" s="25"/>
      <c r="B3" s="14" t="s">
        <v>99</v>
      </c>
      <c r="C3" s="24"/>
      <c r="D3" s="24"/>
      <c r="E3" s="81">
        <v>3.3</v>
      </c>
      <c r="G3" s="14" t="s">
        <v>397</v>
      </c>
      <c r="H3" s="24"/>
      <c r="I3" s="24"/>
      <c r="J3" s="118">
        <v>0.74</v>
      </c>
    </row>
    <row r="4" spans="1:10" ht="15.75">
      <c r="A4" s="27" t="s">
        <v>127</v>
      </c>
      <c r="B4" s="14" t="s">
        <v>100</v>
      </c>
      <c r="C4" s="24"/>
      <c r="D4" s="24"/>
      <c r="E4" s="117">
        <v>450</v>
      </c>
      <c r="G4" s="14" t="s">
        <v>120</v>
      </c>
      <c r="H4" s="26"/>
      <c r="I4" s="24"/>
      <c r="J4" s="57">
        <v>0.3</v>
      </c>
    </row>
    <row r="5" spans="1:10" ht="15.75">
      <c r="A5" s="28" t="s">
        <v>128</v>
      </c>
      <c r="B5" s="14" t="s">
        <v>101</v>
      </c>
      <c r="C5" s="24"/>
      <c r="D5" s="24"/>
      <c r="E5" s="118">
        <v>0.94</v>
      </c>
      <c r="G5" s="14" t="s">
        <v>121</v>
      </c>
      <c r="H5" s="26"/>
      <c r="I5" s="24"/>
      <c r="J5" s="57">
        <v>2.5</v>
      </c>
    </row>
    <row r="6" spans="2:10" ht="15">
      <c r="B6" s="14" t="s">
        <v>299</v>
      </c>
      <c r="C6" s="24"/>
      <c r="D6" s="24"/>
      <c r="E6" s="57">
        <v>1.9</v>
      </c>
      <c r="F6" s="30"/>
      <c r="G6" s="41" t="s">
        <v>124</v>
      </c>
      <c r="H6" s="24"/>
      <c r="I6" s="24"/>
      <c r="J6" s="53">
        <v>8</v>
      </c>
    </row>
    <row r="7" spans="1:10" ht="15">
      <c r="A7" s="25"/>
      <c r="B7" s="14" t="s">
        <v>114</v>
      </c>
      <c r="C7" s="24"/>
      <c r="D7" s="24"/>
      <c r="E7" s="57">
        <v>2</v>
      </c>
      <c r="F7" s="30"/>
      <c r="G7" s="41" t="s">
        <v>122</v>
      </c>
      <c r="H7" s="24"/>
      <c r="I7" s="24"/>
      <c r="J7" s="53">
        <v>0</v>
      </c>
    </row>
    <row r="8" spans="1:9" ht="15">
      <c r="A8" s="25"/>
      <c r="B8" s="14" t="s">
        <v>418</v>
      </c>
      <c r="C8" s="24"/>
      <c r="D8" s="24"/>
      <c r="E8" s="118">
        <v>0.82</v>
      </c>
      <c r="F8" s="30"/>
      <c r="G8" s="24"/>
      <c r="H8" s="24"/>
      <c r="I8" s="24"/>
    </row>
    <row r="9" spans="1:6" ht="12.75">
      <c r="A9" s="25"/>
      <c r="E9" s="29"/>
      <c r="F9" s="30"/>
    </row>
    <row r="10" spans="1:6" ht="12.75">
      <c r="A10" s="25"/>
      <c r="E10" s="29"/>
      <c r="F10" s="30"/>
    </row>
    <row r="11" spans="1:6" ht="12.75">
      <c r="A11" s="25"/>
      <c r="E11" s="29"/>
      <c r="F11" s="30"/>
    </row>
    <row r="12" spans="1:6" ht="12.75">
      <c r="A12" s="25"/>
      <c r="E12" s="29"/>
      <c r="F12" s="30"/>
    </row>
    <row r="13" spans="1:6" ht="12.75">
      <c r="A13" s="25" t="s">
        <v>0</v>
      </c>
      <c r="E13" s="29"/>
      <c r="F13" s="30"/>
    </row>
    <row r="14" spans="1:6" ht="12.75">
      <c r="A14" s="25"/>
      <c r="E14" s="29"/>
      <c r="F14" s="30"/>
    </row>
    <row r="15" spans="1:6" ht="12.75">
      <c r="A15" s="25"/>
      <c r="E15" s="29"/>
      <c r="F15" s="30"/>
    </row>
    <row r="16" spans="1:6" ht="12.75">
      <c r="A16" s="25"/>
      <c r="E16" s="29"/>
      <c r="F16" s="30"/>
    </row>
    <row r="17" spans="1:6" ht="12.75">
      <c r="A17" s="25"/>
      <c r="E17" s="29"/>
      <c r="F17" s="30"/>
    </row>
    <row r="18" spans="1:6" ht="12.75">
      <c r="A18" s="25"/>
      <c r="E18" s="29"/>
      <c r="F18" s="30"/>
    </row>
    <row r="19" spans="1:6" ht="12.75">
      <c r="A19" s="25"/>
      <c r="E19" s="29"/>
      <c r="F19" s="30"/>
    </row>
    <row r="20" spans="1:6" ht="12.75">
      <c r="A20" s="25"/>
      <c r="E20" s="29"/>
      <c r="F20" s="30"/>
    </row>
    <row r="21" spans="1:6" ht="12.75">
      <c r="A21" s="25"/>
      <c r="E21" s="29"/>
      <c r="F21" s="30"/>
    </row>
    <row r="22" spans="1:6" ht="12.75">
      <c r="A22" s="25"/>
      <c r="E22" s="29"/>
      <c r="F22" s="30"/>
    </row>
    <row r="23" spans="1:6" ht="12.75">
      <c r="A23" s="25"/>
      <c r="E23" s="29"/>
      <c r="F23" s="30"/>
    </row>
    <row r="24" spans="1:6" ht="12.75">
      <c r="A24" s="25"/>
      <c r="E24" s="29"/>
      <c r="F24" s="30"/>
    </row>
    <row r="25" spans="1:6" ht="12.75">
      <c r="A25" s="25"/>
      <c r="E25" s="29"/>
      <c r="F25" s="30"/>
    </row>
    <row r="26" spans="1:6" ht="12.75">
      <c r="A26" s="25"/>
      <c r="E26" s="29"/>
      <c r="F26" s="30"/>
    </row>
    <row r="27" spans="1:6" ht="12.75">
      <c r="A27" s="25"/>
      <c r="E27" s="29"/>
      <c r="F27" s="30"/>
    </row>
    <row r="28" spans="1:6" ht="12.75">
      <c r="A28" s="25"/>
      <c r="E28" s="29"/>
      <c r="F28" s="30"/>
    </row>
    <row r="29" spans="1:6" ht="12.75">
      <c r="A29" s="25"/>
      <c r="E29" s="29"/>
      <c r="F29" s="30"/>
    </row>
    <row r="30" spans="1:6" ht="12.75">
      <c r="A30" s="25"/>
      <c r="E30" s="29"/>
      <c r="F30" s="30"/>
    </row>
    <row r="31" spans="1:6" ht="12.75">
      <c r="A31" s="25"/>
      <c r="E31" s="29"/>
      <c r="F31" s="30"/>
    </row>
    <row r="32" spans="1:6" ht="12.75">
      <c r="A32" s="25"/>
      <c r="E32" s="29"/>
      <c r="F32" s="30"/>
    </row>
    <row r="33" spans="1:6" ht="12.75">
      <c r="A33" s="25"/>
      <c r="E33" s="29"/>
      <c r="F33" s="30"/>
    </row>
    <row r="34" spans="1:6" ht="12.75">
      <c r="A34" s="25"/>
      <c r="E34" s="29"/>
      <c r="F34" s="30"/>
    </row>
    <row r="35" spans="1:6" ht="12.75">
      <c r="A35" s="25"/>
      <c r="E35" s="29"/>
      <c r="F35" s="30"/>
    </row>
    <row r="36" spans="1:6" ht="12.75">
      <c r="A36" s="25"/>
      <c r="E36" s="29"/>
      <c r="F36" s="30"/>
    </row>
    <row r="37" spans="1:6" ht="12.75">
      <c r="A37" s="25"/>
      <c r="E37" s="29"/>
      <c r="F37" s="30"/>
    </row>
    <row r="38" spans="1:6" ht="12.75">
      <c r="A38" s="25"/>
      <c r="E38" s="29"/>
      <c r="F38" s="30"/>
    </row>
    <row r="39" spans="1:6" ht="12.75">
      <c r="A39" s="25"/>
      <c r="E39" s="29"/>
      <c r="F39" s="30"/>
    </row>
    <row r="40" spans="1:6" ht="12.75">
      <c r="A40" s="25"/>
      <c r="E40" s="29"/>
      <c r="F40" s="30"/>
    </row>
    <row r="41" spans="1:6" ht="12.75">
      <c r="A41" s="25"/>
      <c r="F41" s="30"/>
    </row>
    <row r="42" spans="1:6" ht="12.75">
      <c r="A42" s="25"/>
      <c r="D42" s="14" t="s">
        <v>123</v>
      </c>
      <c r="F42" s="30"/>
    </row>
    <row r="43" spans="1:6" ht="12.75">
      <c r="A43" s="14" t="s">
        <v>86</v>
      </c>
      <c r="F43" s="31" t="s">
        <v>87</v>
      </c>
    </row>
    <row r="44" spans="1:6" ht="14.25">
      <c r="A44" s="24"/>
      <c r="B44" s="14" t="s">
        <v>83</v>
      </c>
      <c r="C44" s="24"/>
      <c r="D44" s="24"/>
      <c r="E44" s="24"/>
      <c r="F44" s="32">
        <f>Wheat!$F$52</f>
        <v>59.048</v>
      </c>
    </row>
    <row r="45" spans="1:6" ht="14.25">
      <c r="A45" s="24"/>
      <c r="B45" s="14" t="s">
        <v>84</v>
      </c>
      <c r="C45" s="24"/>
      <c r="D45" s="24"/>
      <c r="E45" s="24"/>
      <c r="F45" s="32"/>
    </row>
    <row r="46" spans="1:6" ht="14.25">
      <c r="A46" s="24"/>
      <c r="B46" s="14" t="s">
        <v>102</v>
      </c>
      <c r="C46" s="24"/>
      <c r="D46" s="24"/>
      <c r="E46" s="24"/>
      <c r="F46" s="32">
        <f>Wheat!$H$52</f>
        <v>38.577600000000004</v>
      </c>
    </row>
    <row r="47" spans="1:6" ht="14.25">
      <c r="A47" s="24"/>
      <c r="B47" s="14" t="s">
        <v>103</v>
      </c>
      <c r="C47" s="24"/>
      <c r="D47" s="24"/>
      <c r="E47" s="24"/>
      <c r="F47" s="32">
        <f>$F$46+Stocker!$G$77</f>
        <v>65.0892483333334</v>
      </c>
    </row>
    <row r="48" spans="1:6" ht="14.25">
      <c r="A48" s="24"/>
      <c r="B48" s="14" t="s">
        <v>104</v>
      </c>
      <c r="C48" s="24"/>
      <c r="D48" s="24"/>
      <c r="E48" s="24"/>
      <c r="F48" s="32">
        <f>+$F$46+Stocker!$J$77</f>
        <v>61.572433333333336</v>
      </c>
    </row>
    <row r="49" spans="1:6" ht="14.25">
      <c r="A49" s="24"/>
      <c r="B49" s="14" t="s">
        <v>105</v>
      </c>
      <c r="C49" s="24"/>
      <c r="D49" s="24"/>
      <c r="E49" s="24"/>
      <c r="F49" s="32">
        <f>+$F$46+Stocker!$M$77</f>
        <v>58.92118333333334</v>
      </c>
    </row>
    <row r="50" spans="1:6" ht="14.25">
      <c r="A50" s="24"/>
      <c r="B50" s="14" t="s">
        <v>85</v>
      </c>
      <c r="C50" s="24"/>
      <c r="D50" s="24"/>
      <c r="E50" s="24"/>
      <c r="F50" s="32"/>
    </row>
    <row r="51" spans="1:6" ht="14.25">
      <c r="A51" s="24"/>
      <c r="B51" s="14" t="s">
        <v>118</v>
      </c>
      <c r="C51" s="24"/>
      <c r="D51" s="24"/>
      <c r="E51" s="24"/>
      <c r="F51" s="32">
        <f>-Wheat!$J$50</f>
        <v>-59.0208</v>
      </c>
    </row>
    <row r="52" spans="1:6" ht="14.25">
      <c r="A52" s="24"/>
      <c r="B52" s="14" t="s">
        <v>115</v>
      </c>
      <c r="C52" s="24"/>
      <c r="D52" s="24"/>
      <c r="E52" s="24"/>
      <c r="F52" s="32">
        <f>+$F$51+Stocker!$G$110+Stocker!$G$77</f>
        <v>26.590837866666597</v>
      </c>
    </row>
    <row r="53" spans="1:6" ht="14.25">
      <c r="A53" s="24"/>
      <c r="B53" s="14" t="s">
        <v>116</v>
      </c>
      <c r="C53" s="24"/>
      <c r="D53" s="24"/>
      <c r="E53" s="24"/>
      <c r="F53" s="32">
        <f>+$F$51+Stocker!$J$110+Stocker!$J$77</f>
        <v>29.008995555555536</v>
      </c>
    </row>
    <row r="54" spans="1:6" ht="14.25">
      <c r="A54" s="24"/>
      <c r="B54" s="14" t="s">
        <v>117</v>
      </c>
      <c r="C54" s="24"/>
      <c r="D54" s="24"/>
      <c r="E54" s="24"/>
      <c r="F54" s="32">
        <f>+$F$51+Stocker!$M$110+Stocker!$M$77</f>
        <v>30.78463305555556</v>
      </c>
    </row>
    <row r="55" spans="1:7" ht="14.25">
      <c r="A55" s="24"/>
      <c r="B55" s="24"/>
      <c r="C55" s="24"/>
      <c r="D55" s="24"/>
      <c r="E55" s="24"/>
      <c r="G55" s="32"/>
    </row>
    <row r="56" ht="12.75">
      <c r="G56" s="33"/>
    </row>
    <row r="57" ht="12.75">
      <c r="C57" s="32"/>
    </row>
    <row r="58" ht="12.75">
      <c r="C58" s="32"/>
    </row>
    <row r="59" spans="5:11" ht="12.75">
      <c r="E59" s="41"/>
      <c r="K59" s="42"/>
    </row>
    <row r="60" spans="5:11" ht="12.75">
      <c r="E60" s="41"/>
      <c r="F60" s="41"/>
      <c r="G60" s="43"/>
      <c r="H60" s="43"/>
      <c r="K60" s="42"/>
    </row>
    <row r="61" spans="5:11" ht="12.75">
      <c r="E61" s="30"/>
      <c r="F61" s="30"/>
      <c r="G61" s="44"/>
      <c r="H61" s="44"/>
      <c r="J61" s="41"/>
      <c r="K61" s="41"/>
    </row>
    <row r="62" spans="5:11" ht="12.75">
      <c r="E62" s="30"/>
      <c r="F62" s="30"/>
      <c r="G62" s="44"/>
      <c r="H62" s="44"/>
      <c r="J62" s="41"/>
      <c r="K62" s="45"/>
    </row>
    <row r="63" spans="5:11" ht="12.75">
      <c r="E63" s="30"/>
      <c r="F63" s="30"/>
      <c r="G63" s="44"/>
      <c r="H63" s="44"/>
      <c r="J63" s="41"/>
      <c r="K63" s="41"/>
    </row>
    <row r="64" spans="5:11" ht="12.75">
      <c r="E64" s="30"/>
      <c r="F64" s="30"/>
      <c r="G64" s="44"/>
      <c r="H64" s="44"/>
      <c r="J64" s="41"/>
      <c r="K64" s="41"/>
    </row>
    <row r="65" spans="5:11" ht="12.75">
      <c r="E65" s="30"/>
      <c r="F65" s="30"/>
      <c r="G65" s="44"/>
      <c r="H65" s="44"/>
      <c r="J65" s="41"/>
      <c r="K65" s="41"/>
    </row>
    <row r="66" spans="5:11" ht="12.75">
      <c r="E66" s="30"/>
      <c r="F66" s="30"/>
      <c r="G66" s="44"/>
      <c r="H66" s="44"/>
      <c r="J66" s="41"/>
      <c r="K66" s="41"/>
    </row>
    <row r="74" ht="12.75">
      <c r="G74" s="46"/>
    </row>
    <row r="75" spans="7:8" ht="12.75">
      <c r="G75" s="46"/>
      <c r="H75" s="41"/>
    </row>
    <row r="76" spans="5:9" ht="12.75">
      <c r="E76" s="46"/>
      <c r="F76" s="46"/>
      <c r="G76" s="46"/>
      <c r="H76" s="46"/>
      <c r="I76" s="46"/>
    </row>
    <row r="77" ht="12.75">
      <c r="E77" s="41"/>
    </row>
    <row r="78" spans="3:9" ht="12.75">
      <c r="C78" s="46"/>
      <c r="D78" s="47"/>
      <c r="E78" s="48"/>
      <c r="F78" s="48"/>
      <c r="G78" s="48"/>
      <c r="H78" s="48"/>
      <c r="I78" s="48"/>
    </row>
    <row r="79" spans="2:9" ht="12.75">
      <c r="B79" s="46"/>
      <c r="C79" s="46"/>
      <c r="D79" s="47"/>
      <c r="E79" s="48"/>
      <c r="F79" s="48"/>
      <c r="G79" s="48"/>
      <c r="H79" s="48"/>
      <c r="I79" s="48"/>
    </row>
    <row r="80" spans="2:9" ht="12.75">
      <c r="B80" s="46"/>
      <c r="C80" s="46"/>
      <c r="D80" s="47"/>
      <c r="E80" s="48"/>
      <c r="F80" s="48"/>
      <c r="G80" s="48"/>
      <c r="H80" s="48"/>
      <c r="I80" s="48"/>
    </row>
    <row r="81" spans="3:9" ht="12.75">
      <c r="C81" s="46"/>
      <c r="D81" s="47"/>
      <c r="E81" s="48"/>
      <c r="F81" s="48"/>
      <c r="G81" s="48"/>
      <c r="H81" s="48"/>
      <c r="I81" s="48"/>
    </row>
    <row r="82" spans="3:9" ht="12.75">
      <c r="C82" s="46"/>
      <c r="D82" s="47"/>
      <c r="E82" s="48"/>
      <c r="F82" s="48"/>
      <c r="G82" s="48"/>
      <c r="H82" s="48"/>
      <c r="I82" s="48"/>
    </row>
    <row r="83" spans="2:4" ht="12.75">
      <c r="B83" s="41"/>
      <c r="D83" s="41"/>
    </row>
    <row r="84" ht="12.75">
      <c r="B84" s="41"/>
    </row>
    <row r="85" ht="12.75">
      <c r="B85" s="46"/>
    </row>
    <row r="86" ht="12.75">
      <c r="G86" s="41"/>
    </row>
    <row r="87" ht="12.75">
      <c r="E87" s="41"/>
    </row>
    <row r="88" ht="12.75">
      <c r="F88" s="41"/>
    </row>
    <row r="89" ht="12.75">
      <c r="B89" s="41"/>
    </row>
    <row r="91" spans="1:3" ht="12.75">
      <c r="A91" s="14" t="s">
        <v>126</v>
      </c>
      <c r="C91" s="33">
        <f>+$F$51+Stocker!$M$110+Stocker!$M$77</f>
        <v>30.78463305555556</v>
      </c>
    </row>
    <row r="92" spans="1:8" ht="12.75">
      <c r="A92" s="14" t="s">
        <v>382</v>
      </c>
      <c r="C92" s="33">
        <f>+$F$51+Stocker!$J$110+Stocker!$J$77</f>
        <v>29.008995555555536</v>
      </c>
      <c r="E92" s="46"/>
      <c r="F92" s="46"/>
      <c r="G92" s="46"/>
      <c r="H92" s="46"/>
    </row>
    <row r="93" spans="1:8" ht="12.75">
      <c r="A93" s="14" t="s">
        <v>125</v>
      </c>
      <c r="C93" s="33">
        <f>+$F$51+Stocker!$G$110+Stocker!$G$77</f>
        <v>26.590837866666597</v>
      </c>
      <c r="D93" s="46"/>
      <c r="E93" s="46"/>
      <c r="F93" s="46"/>
      <c r="G93" s="46"/>
      <c r="H93" s="46"/>
    </row>
    <row r="94" spans="1:8" ht="12.75">
      <c r="A94" s="14" t="s">
        <v>415</v>
      </c>
      <c r="C94" s="33">
        <f>+$F$46+Stocker!$M$77</f>
        <v>58.92118333333334</v>
      </c>
      <c r="D94" s="46"/>
      <c r="E94" s="46"/>
      <c r="F94" s="46"/>
      <c r="G94" s="46"/>
      <c r="H94" s="46"/>
    </row>
    <row r="95" spans="1:8" ht="12.75">
      <c r="A95" s="14" t="s">
        <v>416</v>
      </c>
      <c r="C95" s="33">
        <f>+$F$46+Stocker!$J$77</f>
        <v>61.572433333333336</v>
      </c>
      <c r="D95" s="46"/>
      <c r="E95" s="46"/>
      <c r="F95" s="46"/>
      <c r="G95" s="46"/>
      <c r="H95" s="46"/>
    </row>
    <row r="96" spans="1:3" ht="12.75">
      <c r="A96" s="14" t="s">
        <v>417</v>
      </c>
      <c r="C96" s="33">
        <f>$F$46+Stocker!$G$77</f>
        <v>65.0892483333334</v>
      </c>
    </row>
    <row r="97" spans="1:3" ht="12.75">
      <c r="A97" s="14" t="s">
        <v>381</v>
      </c>
      <c r="C97" s="33">
        <f>Wheat!$H$52</f>
        <v>38.577600000000004</v>
      </c>
    </row>
    <row r="98" spans="1:3" ht="12.75">
      <c r="A98" s="14" t="s">
        <v>83</v>
      </c>
      <c r="C98" s="33">
        <f>Wheat!$F$52</f>
        <v>59.048</v>
      </c>
    </row>
  </sheetData>
  <printOptions/>
  <pageMargins left="0.75" right="0.75" top="1" bottom="1" header="0.5" footer="0.5"/>
  <pageSetup fitToHeight="1" fitToWidth="1" horizontalDpi="300" verticalDpi="300" orientation="portrait" scale="4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124"/>
  <sheetViews>
    <sheetView defaultGridColor="0" zoomScale="90" zoomScaleNormal="90" colorId="9" workbookViewId="0" topLeftCell="A1">
      <selection activeCell="A1" sqref="A1"/>
    </sheetView>
  </sheetViews>
  <sheetFormatPr defaultColWidth="9.00390625" defaultRowHeight="12.75"/>
  <cols>
    <col min="1" max="1" width="9.00390625" style="49" customWidth="1"/>
    <col min="2" max="2" width="10.50390625" style="18" customWidth="1"/>
    <col min="3" max="4" width="9.00390625" style="18" customWidth="1"/>
    <col min="5" max="5" width="10.875" style="18" bestFit="1" customWidth="1"/>
    <col min="6" max="6" width="9.375" style="18" bestFit="1" customWidth="1"/>
    <col min="7" max="7" width="20.75390625" style="18" bestFit="1" customWidth="1"/>
    <col min="8" max="8" width="2.125" style="18" customWidth="1"/>
    <col min="9" max="9" width="11.625" style="18" bestFit="1" customWidth="1"/>
    <col min="10" max="10" width="8.25390625" style="18" bestFit="1" customWidth="1"/>
    <col min="11" max="16384" width="9.00390625" style="18" customWidth="1"/>
  </cols>
  <sheetData>
    <row r="1" spans="3:9" ht="15.75">
      <c r="C1" s="27" t="s">
        <v>297</v>
      </c>
      <c r="D1" s="50"/>
      <c r="E1" s="27"/>
      <c r="F1" s="34"/>
      <c r="I1" s="34" t="s">
        <v>0</v>
      </c>
    </row>
    <row r="2" spans="4:6" ht="15">
      <c r="D2" s="51" t="s">
        <v>75</v>
      </c>
      <c r="E2" s="51" t="s">
        <v>411</v>
      </c>
      <c r="F2" s="51" t="s">
        <v>76</v>
      </c>
    </row>
    <row r="3" spans="1:14" ht="15">
      <c r="A3" s="52" t="s">
        <v>2</v>
      </c>
      <c r="D3" s="51" t="s">
        <v>73</v>
      </c>
      <c r="E3" s="51" t="s">
        <v>72</v>
      </c>
      <c r="F3" s="51" t="s">
        <v>73</v>
      </c>
      <c r="G3" s="34" t="s">
        <v>3</v>
      </c>
      <c r="N3" s="74"/>
    </row>
    <row r="4" spans="1:14" ht="15">
      <c r="A4" s="109" t="s">
        <v>4</v>
      </c>
      <c r="B4" s="34"/>
      <c r="D4" s="53">
        <v>1</v>
      </c>
      <c r="E4" s="53">
        <v>1.5</v>
      </c>
      <c r="F4" s="53">
        <v>2</v>
      </c>
      <c r="G4" s="41" t="s">
        <v>5</v>
      </c>
      <c r="I4" s="53">
        <v>6</v>
      </c>
      <c r="N4" s="74"/>
    </row>
    <row r="5" spans="1:14" ht="15">
      <c r="A5" s="109" t="s">
        <v>6</v>
      </c>
      <c r="D5" s="54">
        <v>60</v>
      </c>
      <c r="E5" s="54">
        <v>82</v>
      </c>
      <c r="F5" s="54">
        <v>94</v>
      </c>
      <c r="G5" s="45" t="s">
        <v>7</v>
      </c>
      <c r="I5" s="55">
        <v>0.22</v>
      </c>
      <c r="N5" s="74"/>
    </row>
    <row r="6" spans="1:14" ht="15">
      <c r="A6" s="110" t="s">
        <v>9</v>
      </c>
      <c r="D6" s="54">
        <v>20</v>
      </c>
      <c r="E6" s="54">
        <v>20</v>
      </c>
      <c r="F6" s="54">
        <v>20</v>
      </c>
      <c r="G6" s="41" t="s">
        <v>10</v>
      </c>
      <c r="I6" s="55">
        <v>0.25</v>
      </c>
      <c r="N6" s="74"/>
    </row>
    <row r="7" spans="1:14" ht="15">
      <c r="A7" s="110" t="s">
        <v>11</v>
      </c>
      <c r="D7" s="54">
        <v>0</v>
      </c>
      <c r="E7" s="54">
        <v>0</v>
      </c>
      <c r="F7" s="54">
        <v>0</v>
      </c>
      <c r="G7" s="41" t="s">
        <v>12</v>
      </c>
      <c r="I7" s="53">
        <v>0</v>
      </c>
      <c r="N7" s="75"/>
    </row>
    <row r="8" spans="1:9" ht="15">
      <c r="A8" s="110" t="s">
        <v>412</v>
      </c>
      <c r="C8" s="18" t="s">
        <v>0</v>
      </c>
      <c r="D8" s="54">
        <v>1</v>
      </c>
      <c r="E8" s="54">
        <v>1</v>
      </c>
      <c r="F8" s="54">
        <v>0</v>
      </c>
      <c r="G8" s="41" t="s">
        <v>409</v>
      </c>
      <c r="I8" s="53">
        <v>3</v>
      </c>
    </row>
    <row r="9" spans="1:14" ht="15">
      <c r="A9" s="110" t="s">
        <v>413</v>
      </c>
      <c r="D9" s="54">
        <v>1</v>
      </c>
      <c r="E9" s="54">
        <v>1</v>
      </c>
      <c r="F9" s="54">
        <v>0</v>
      </c>
      <c r="G9" s="41" t="s">
        <v>410</v>
      </c>
      <c r="I9" s="53">
        <v>4</v>
      </c>
      <c r="N9" s="37"/>
    </row>
    <row r="10" spans="7:14" ht="15">
      <c r="G10" s="41" t="s">
        <v>15</v>
      </c>
      <c r="I10" s="53">
        <v>13</v>
      </c>
      <c r="N10" s="58"/>
    </row>
    <row r="11" spans="1:14" ht="15">
      <c r="A11" s="49" t="s">
        <v>30</v>
      </c>
      <c r="B11" s="34"/>
      <c r="G11" s="41" t="s">
        <v>17</v>
      </c>
      <c r="I11" s="53">
        <v>0.13</v>
      </c>
      <c r="N11" s="37"/>
    </row>
    <row r="12" spans="1:14" ht="15">
      <c r="A12" s="23" t="s">
        <v>395</v>
      </c>
      <c r="B12" s="34"/>
      <c r="D12" s="56">
        <v>18</v>
      </c>
      <c r="E12" s="53">
        <v>18</v>
      </c>
      <c r="F12" s="57">
        <v>18</v>
      </c>
      <c r="G12" s="41" t="s">
        <v>20</v>
      </c>
      <c r="I12" s="53">
        <v>0.13</v>
      </c>
      <c r="N12" s="76"/>
    </row>
    <row r="13" spans="1:9" ht="15">
      <c r="A13" s="110" t="s">
        <v>106</v>
      </c>
      <c r="D13" s="56">
        <v>2</v>
      </c>
      <c r="E13" s="56">
        <v>2</v>
      </c>
      <c r="F13" s="56">
        <v>1.5</v>
      </c>
      <c r="G13" s="41" t="s">
        <v>23</v>
      </c>
      <c r="I13" s="53">
        <v>0</v>
      </c>
    </row>
    <row r="14" ht="15"/>
    <row r="15" ht="15">
      <c r="H15" s="58" t="s">
        <v>0</v>
      </c>
    </row>
    <row r="16" spans="9:14" ht="15">
      <c r="I16" s="34"/>
      <c r="N16" s="37"/>
    </row>
    <row r="17" ht="15">
      <c r="N17" s="66"/>
    </row>
    <row r="18" ht="15">
      <c r="N18" s="66"/>
    </row>
    <row r="19" ht="15">
      <c r="N19" s="66"/>
    </row>
    <row r="20" ht="15">
      <c r="N20" s="66"/>
    </row>
    <row r="21" ht="15">
      <c r="N21" s="66"/>
    </row>
    <row r="22" ht="15">
      <c r="N22" s="66"/>
    </row>
    <row r="23" ht="15">
      <c r="N23" s="66"/>
    </row>
    <row r="24" ht="15">
      <c r="N24" s="66"/>
    </row>
    <row r="25" ht="15">
      <c r="N25" s="66"/>
    </row>
    <row r="26" ht="15">
      <c r="N26" s="66"/>
    </row>
    <row r="27" ht="15">
      <c r="N27" s="66"/>
    </row>
    <row r="28" ht="15">
      <c r="N28" s="66"/>
    </row>
    <row r="29" ht="15">
      <c r="N29" s="66"/>
    </row>
    <row r="31" spans="1:14" ht="15">
      <c r="A31" s="52" t="s">
        <v>109</v>
      </c>
      <c r="D31" s="18" t="s">
        <v>0</v>
      </c>
      <c r="E31" s="59" t="s">
        <v>77</v>
      </c>
      <c r="G31" s="18" t="s">
        <v>79</v>
      </c>
      <c r="I31" s="18" t="s">
        <v>78</v>
      </c>
      <c r="N31" s="40"/>
    </row>
    <row r="32" spans="1:14" ht="15">
      <c r="A32" s="52" t="s">
        <v>0</v>
      </c>
      <c r="C32" s="60" t="s">
        <v>26</v>
      </c>
      <c r="D32" s="60" t="s">
        <v>27</v>
      </c>
      <c r="E32" s="60" t="s">
        <v>28</v>
      </c>
      <c r="F32" s="60" t="s">
        <v>29</v>
      </c>
      <c r="G32" s="60" t="s">
        <v>28</v>
      </c>
      <c r="H32" s="60" t="s">
        <v>29</v>
      </c>
      <c r="I32" s="60" t="s">
        <v>28</v>
      </c>
      <c r="J32" s="60" t="s">
        <v>29</v>
      </c>
      <c r="M32" s="61"/>
      <c r="N32" s="77"/>
    </row>
    <row r="33" spans="1:14" ht="15">
      <c r="A33" s="52" t="s">
        <v>53</v>
      </c>
      <c r="M33" s="62"/>
      <c r="N33" s="62"/>
    </row>
    <row r="34" spans="1:14" ht="15">
      <c r="A34" s="52" t="s">
        <v>18</v>
      </c>
      <c r="C34" s="36" t="s">
        <v>54</v>
      </c>
      <c r="D34" s="35">
        <f>Results!E3</f>
        <v>3.3</v>
      </c>
      <c r="E34" s="35">
        <f>Results!E1</f>
        <v>40</v>
      </c>
      <c r="F34" s="35">
        <f>E34*D34</f>
        <v>132</v>
      </c>
      <c r="G34" s="18">
        <f>Results!E2</f>
        <v>36</v>
      </c>
      <c r="H34" s="18">
        <f>D34*G34</f>
        <v>118.8</v>
      </c>
      <c r="I34" s="63" t="s">
        <v>25</v>
      </c>
      <c r="J34" s="63" t="s">
        <v>25</v>
      </c>
      <c r="M34" s="62"/>
      <c r="N34" s="62"/>
    </row>
    <row r="35" spans="1:14" ht="15">
      <c r="A35" s="52" t="s">
        <v>32</v>
      </c>
      <c r="F35" s="35">
        <f>F34</f>
        <v>132</v>
      </c>
      <c r="H35" s="18">
        <f>H34</f>
        <v>118.8</v>
      </c>
      <c r="J35" s="63" t="s">
        <v>25</v>
      </c>
      <c r="M35" s="62"/>
      <c r="N35" s="62"/>
    </row>
    <row r="36" spans="13:14" ht="15">
      <c r="M36" s="62"/>
      <c r="N36" s="62"/>
    </row>
    <row r="37" spans="1:14" ht="15">
      <c r="A37" s="52" t="s">
        <v>33</v>
      </c>
      <c r="M37" s="62"/>
      <c r="N37" s="72" t="s">
        <v>0</v>
      </c>
    </row>
    <row r="38" spans="1:14" ht="15">
      <c r="A38" s="52" t="s">
        <v>55</v>
      </c>
      <c r="C38" s="36" t="s">
        <v>54</v>
      </c>
      <c r="D38" s="35">
        <f aca="true" t="shared" si="0" ref="D38:D43">I4</f>
        <v>6</v>
      </c>
      <c r="E38" s="39">
        <f aca="true" t="shared" si="1" ref="E38:E43">D4</f>
        <v>1</v>
      </c>
      <c r="F38" s="35">
        <f aca="true" t="shared" si="2" ref="F38:F49">D38*E38</f>
        <v>6</v>
      </c>
      <c r="G38" s="18">
        <f aca="true" t="shared" si="3" ref="G38:G43">E4</f>
        <v>1.5</v>
      </c>
      <c r="H38" s="18">
        <f aca="true" t="shared" si="4" ref="H38:H49">D38*G38</f>
        <v>9</v>
      </c>
      <c r="I38" s="18">
        <f aca="true" t="shared" si="5" ref="I38:I43">F4</f>
        <v>2</v>
      </c>
      <c r="J38" s="18">
        <f>D38*I38</f>
        <v>12</v>
      </c>
      <c r="M38" s="62"/>
      <c r="N38" s="62"/>
    </row>
    <row r="39" spans="1:14" ht="15">
      <c r="A39" s="52" t="s">
        <v>56</v>
      </c>
      <c r="C39" s="36" t="s">
        <v>37</v>
      </c>
      <c r="D39" s="35">
        <f t="shared" si="0"/>
        <v>0.22</v>
      </c>
      <c r="E39" s="39">
        <f t="shared" si="1"/>
        <v>60</v>
      </c>
      <c r="F39" s="35">
        <f t="shared" si="2"/>
        <v>13.2</v>
      </c>
      <c r="G39" s="18">
        <f t="shared" si="3"/>
        <v>82</v>
      </c>
      <c r="H39" s="18">
        <f t="shared" si="4"/>
        <v>18.04</v>
      </c>
      <c r="I39" s="18">
        <f t="shared" si="5"/>
        <v>94</v>
      </c>
      <c r="J39" s="18">
        <f aca="true" t="shared" si="6" ref="J39:J49">D39*I39</f>
        <v>20.68</v>
      </c>
      <c r="M39" s="62"/>
      <c r="N39" s="72" t="s">
        <v>0</v>
      </c>
    </row>
    <row r="40" spans="1:14" ht="15">
      <c r="A40" s="52" t="s">
        <v>57</v>
      </c>
      <c r="C40" s="36" t="s">
        <v>37</v>
      </c>
      <c r="D40" s="35">
        <f t="shared" si="0"/>
        <v>0.25</v>
      </c>
      <c r="E40" s="39">
        <f t="shared" si="1"/>
        <v>20</v>
      </c>
      <c r="F40" s="35">
        <f t="shared" si="2"/>
        <v>5</v>
      </c>
      <c r="G40" s="18">
        <f t="shared" si="3"/>
        <v>20</v>
      </c>
      <c r="H40" s="18">
        <f t="shared" si="4"/>
        <v>5</v>
      </c>
      <c r="I40" s="18">
        <f t="shared" si="5"/>
        <v>20</v>
      </c>
      <c r="J40" s="18">
        <f t="shared" si="6"/>
        <v>5</v>
      </c>
      <c r="M40" s="62"/>
      <c r="N40" s="72" t="s">
        <v>0</v>
      </c>
    </row>
    <row r="41" spans="1:14" ht="15">
      <c r="A41" s="52" t="s">
        <v>58</v>
      </c>
      <c r="C41" s="36" t="s">
        <v>37</v>
      </c>
      <c r="D41" s="35">
        <f t="shared" si="0"/>
        <v>0</v>
      </c>
      <c r="E41" s="39">
        <f t="shared" si="1"/>
        <v>0</v>
      </c>
      <c r="F41" s="35">
        <f t="shared" si="2"/>
        <v>0</v>
      </c>
      <c r="G41" s="18">
        <f t="shared" si="3"/>
        <v>0</v>
      </c>
      <c r="H41" s="18">
        <f t="shared" si="4"/>
        <v>0</v>
      </c>
      <c r="I41" s="18">
        <f t="shared" si="5"/>
        <v>0</v>
      </c>
      <c r="J41" s="18">
        <f t="shared" si="6"/>
        <v>0</v>
      </c>
      <c r="M41" s="62"/>
      <c r="N41" s="62"/>
    </row>
    <row r="42" spans="1:14" ht="15">
      <c r="A42" s="52" t="s">
        <v>59</v>
      </c>
      <c r="C42" s="36" t="s">
        <v>60</v>
      </c>
      <c r="D42" s="35">
        <f t="shared" si="0"/>
        <v>3</v>
      </c>
      <c r="E42" s="35">
        <f t="shared" si="1"/>
        <v>1</v>
      </c>
      <c r="F42" s="35">
        <f t="shared" si="2"/>
        <v>3</v>
      </c>
      <c r="G42" s="18">
        <f t="shared" si="3"/>
        <v>1</v>
      </c>
      <c r="H42" s="18">
        <f t="shared" si="4"/>
        <v>3</v>
      </c>
      <c r="I42" s="18">
        <f t="shared" si="5"/>
        <v>0</v>
      </c>
      <c r="J42" s="18">
        <f t="shared" si="6"/>
        <v>0</v>
      </c>
      <c r="M42" s="62"/>
      <c r="N42" s="62"/>
    </row>
    <row r="43" spans="1:14" ht="15">
      <c r="A43" s="52" t="s">
        <v>61</v>
      </c>
      <c r="C43" s="36" t="s">
        <v>60</v>
      </c>
      <c r="D43" s="35">
        <f t="shared" si="0"/>
        <v>4</v>
      </c>
      <c r="E43" s="35">
        <f t="shared" si="1"/>
        <v>1</v>
      </c>
      <c r="F43" s="35">
        <f t="shared" si="2"/>
        <v>4</v>
      </c>
      <c r="G43" s="18">
        <f t="shared" si="3"/>
        <v>1</v>
      </c>
      <c r="H43" s="18">
        <f t="shared" si="4"/>
        <v>4</v>
      </c>
      <c r="I43" s="18">
        <f t="shared" si="5"/>
        <v>0</v>
      </c>
      <c r="J43" s="18">
        <f t="shared" si="6"/>
        <v>0</v>
      </c>
      <c r="M43" s="62"/>
      <c r="N43" s="62"/>
    </row>
    <row r="44" spans="1:14" ht="15">
      <c r="A44" s="52" t="s">
        <v>62</v>
      </c>
      <c r="C44" s="36" t="s">
        <v>63</v>
      </c>
      <c r="D44" s="35">
        <f>IF(Results!E1&lt;20,I10,I10+(I11*(Results!E1-20)))</f>
        <v>15.6</v>
      </c>
      <c r="E44" s="35">
        <v>1</v>
      </c>
      <c r="F44" s="35">
        <f t="shared" si="2"/>
        <v>15.6</v>
      </c>
      <c r="G44" s="18" t="s">
        <v>0</v>
      </c>
      <c r="H44" s="35">
        <f>IF(Results!E2&lt;20,I10,I10+(I11*(Results!E2-20)))</f>
        <v>15.08</v>
      </c>
      <c r="M44" s="62"/>
      <c r="N44" s="62"/>
    </row>
    <row r="45" spans="1:14" ht="15">
      <c r="A45" s="52" t="s">
        <v>43</v>
      </c>
      <c r="C45" s="36" t="s">
        <v>63</v>
      </c>
      <c r="D45" s="35">
        <v>1</v>
      </c>
      <c r="E45" s="39">
        <f>D12</f>
        <v>18</v>
      </c>
      <c r="F45" s="35">
        <f t="shared" si="2"/>
        <v>18</v>
      </c>
      <c r="G45" s="18">
        <f>E12</f>
        <v>18</v>
      </c>
      <c r="H45" s="18">
        <f t="shared" si="4"/>
        <v>18</v>
      </c>
      <c r="I45" s="18">
        <f>F12</f>
        <v>18</v>
      </c>
      <c r="J45" s="18">
        <f t="shared" si="6"/>
        <v>18</v>
      </c>
      <c r="M45" s="62"/>
      <c r="N45" s="62"/>
    </row>
    <row r="46" spans="1:14" ht="15">
      <c r="A46" s="52" t="s">
        <v>44</v>
      </c>
      <c r="C46" s="36" t="s">
        <v>63</v>
      </c>
      <c r="D46" s="35">
        <f>IF(Results!J6&lt;1,Results!J6,Results!J6/100)</f>
        <v>0.08</v>
      </c>
      <c r="E46" s="35">
        <f>(SUM(F38:F43)+F45+F47)*(270/360)</f>
        <v>36.900000000000006</v>
      </c>
      <c r="F46" s="35">
        <f t="shared" si="2"/>
        <v>2.9520000000000004</v>
      </c>
      <c r="G46" s="35">
        <f>(SUM(H38:H43)+H45+H47)*(270/360)</f>
        <v>42.78</v>
      </c>
      <c r="H46" s="18">
        <f t="shared" si="4"/>
        <v>3.4224</v>
      </c>
      <c r="I46" s="35">
        <f>(SUM(J38:J43)+J45+J47+J49)*(270/360)</f>
        <v>41.76</v>
      </c>
      <c r="J46" s="18">
        <f t="shared" si="6"/>
        <v>3.3407999999999998</v>
      </c>
      <c r="M46" s="62"/>
      <c r="N46" s="62"/>
    </row>
    <row r="47" spans="1:14" ht="15">
      <c r="A47" s="52" t="s">
        <v>46</v>
      </c>
      <c r="C47" s="36" t="s">
        <v>107</v>
      </c>
      <c r="D47" s="35">
        <f>Results!J7</f>
        <v>0</v>
      </c>
      <c r="E47" s="39">
        <f>D13</f>
        <v>2</v>
      </c>
      <c r="F47" s="35">
        <f t="shared" si="2"/>
        <v>0</v>
      </c>
      <c r="G47" s="18">
        <f>E13</f>
        <v>2</v>
      </c>
      <c r="H47" s="18">
        <f t="shared" si="4"/>
        <v>0</v>
      </c>
      <c r="I47" s="18">
        <f>F13</f>
        <v>1.5</v>
      </c>
      <c r="J47" s="18">
        <f t="shared" si="6"/>
        <v>0</v>
      </c>
      <c r="M47" s="62"/>
      <c r="N47" s="62"/>
    </row>
    <row r="48" spans="1:14" ht="15">
      <c r="A48" s="52" t="s">
        <v>64</v>
      </c>
      <c r="C48" s="36" t="s">
        <v>54</v>
      </c>
      <c r="D48" s="35">
        <f>I12</f>
        <v>0.13</v>
      </c>
      <c r="E48" s="64">
        <f>Results!E1</f>
        <v>40</v>
      </c>
      <c r="F48" s="35">
        <f t="shared" si="2"/>
        <v>5.2</v>
      </c>
      <c r="G48" s="18">
        <f>Results!E2</f>
        <v>36</v>
      </c>
      <c r="H48" s="18">
        <f t="shared" si="4"/>
        <v>4.68</v>
      </c>
      <c r="M48" s="62"/>
      <c r="N48" s="62"/>
    </row>
    <row r="49" spans="1:10" ht="15">
      <c r="A49" s="52" t="s">
        <v>49</v>
      </c>
      <c r="C49" s="36" t="s">
        <v>63</v>
      </c>
      <c r="D49" s="35">
        <f>I13</f>
        <v>0</v>
      </c>
      <c r="E49" s="39">
        <v>1</v>
      </c>
      <c r="F49" s="35">
        <f t="shared" si="2"/>
        <v>0</v>
      </c>
      <c r="G49" s="18">
        <v>1</v>
      </c>
      <c r="H49" s="18">
        <f t="shared" si="4"/>
        <v>0</v>
      </c>
      <c r="I49" s="18">
        <v>1</v>
      </c>
      <c r="J49" s="18">
        <f t="shared" si="6"/>
        <v>0</v>
      </c>
    </row>
    <row r="50" spans="1:14" ht="15">
      <c r="A50" s="52" t="s">
        <v>50</v>
      </c>
      <c r="F50" s="35">
        <f>SUM(F38:F49)</f>
        <v>72.952</v>
      </c>
      <c r="H50" s="35">
        <f>SUM(H38:H49)</f>
        <v>80.2224</v>
      </c>
      <c r="J50" s="35">
        <f>SUM(J38:J49)</f>
        <v>59.0208</v>
      </c>
      <c r="M50" s="65"/>
      <c r="N50" s="65"/>
    </row>
    <row r="52" spans="1:10" ht="15">
      <c r="A52" s="52" t="s">
        <v>66</v>
      </c>
      <c r="F52" s="35">
        <f>F35-F50</f>
        <v>59.048</v>
      </c>
      <c r="H52" s="35">
        <f>H35-H50</f>
        <v>38.577600000000004</v>
      </c>
      <c r="J52" s="35">
        <f>-J50</f>
        <v>-59.0208</v>
      </c>
    </row>
    <row r="53" ht="15">
      <c r="C53" s="34" t="s">
        <v>65</v>
      </c>
    </row>
    <row r="54" spans="1:8" ht="15">
      <c r="A54" s="52" t="s">
        <v>67</v>
      </c>
      <c r="F54" s="39">
        <f>F50/E34</f>
        <v>1.8237999999999999</v>
      </c>
      <c r="H54" s="39">
        <f>H50/G34</f>
        <v>2.2283999999999997</v>
      </c>
    </row>
    <row r="56" spans="1:8" ht="15">
      <c r="A56" s="52" t="s">
        <v>68</v>
      </c>
      <c r="F56" s="39">
        <f>F50/D34</f>
        <v>22.106666666666666</v>
      </c>
      <c r="H56" s="39">
        <f>H50/D34</f>
        <v>24.30981818181818</v>
      </c>
    </row>
    <row r="59" spans="2:7" ht="15">
      <c r="B59" s="34"/>
      <c r="D59" s="60"/>
      <c r="E59" s="60"/>
      <c r="F59" s="60"/>
      <c r="G59" s="60"/>
    </row>
    <row r="60" ht="15">
      <c r="B60" s="34"/>
    </row>
    <row r="61" spans="2:7" ht="15">
      <c r="B61" s="34"/>
      <c r="D61" s="36"/>
      <c r="E61" s="35"/>
      <c r="F61" s="35"/>
      <c r="G61" s="35"/>
    </row>
    <row r="62" spans="2:7" ht="15">
      <c r="B62" s="34"/>
      <c r="G62" s="35"/>
    </row>
    <row r="64" ht="15">
      <c r="B64" s="34"/>
    </row>
    <row r="65" spans="2:7" ht="15">
      <c r="B65" s="34"/>
      <c r="D65" s="36"/>
      <c r="E65" s="35"/>
      <c r="F65" s="39"/>
      <c r="G65" s="35"/>
    </row>
    <row r="66" spans="2:7" ht="15">
      <c r="B66" s="34"/>
      <c r="D66" s="36"/>
      <c r="E66" s="35"/>
      <c r="F66" s="39"/>
      <c r="G66" s="35"/>
    </row>
    <row r="67" spans="2:7" ht="15">
      <c r="B67" s="34"/>
      <c r="D67" s="36"/>
      <c r="E67" s="35"/>
      <c r="F67" s="39"/>
      <c r="G67" s="35"/>
    </row>
    <row r="68" spans="2:7" ht="15">
      <c r="B68" s="34"/>
      <c r="D68" s="36"/>
      <c r="E68" s="35"/>
      <c r="F68" s="39"/>
      <c r="G68" s="35"/>
    </row>
    <row r="69" spans="2:7" ht="15">
      <c r="B69" s="34"/>
      <c r="D69" s="36"/>
      <c r="E69" s="35"/>
      <c r="F69" s="35"/>
      <c r="G69" s="35"/>
    </row>
    <row r="70" spans="2:7" ht="15">
      <c r="B70" s="34"/>
      <c r="D70" s="36"/>
      <c r="E70" s="35"/>
      <c r="F70" s="35"/>
      <c r="G70" s="35"/>
    </row>
    <row r="71" spans="2:7" ht="15">
      <c r="B71" s="34"/>
      <c r="D71" s="36"/>
      <c r="E71" s="35"/>
      <c r="F71" s="35"/>
      <c r="G71" s="35"/>
    </row>
    <row r="72" spans="2:7" ht="15">
      <c r="B72" s="34"/>
      <c r="D72" s="36"/>
      <c r="E72" s="35"/>
      <c r="F72" s="39"/>
      <c r="G72" s="35"/>
    </row>
    <row r="73" spans="2:7" ht="15">
      <c r="B73" s="34"/>
      <c r="D73" s="36"/>
      <c r="E73" s="35"/>
      <c r="F73" s="35"/>
      <c r="G73" s="35"/>
    </row>
    <row r="74" spans="2:7" ht="15">
      <c r="B74" s="34"/>
      <c r="D74" s="36"/>
      <c r="E74" s="35"/>
      <c r="F74" s="39"/>
      <c r="G74" s="35"/>
    </row>
    <row r="75" spans="2:7" ht="15">
      <c r="B75" s="34"/>
      <c r="D75" s="36"/>
      <c r="E75" s="35"/>
      <c r="F75" s="64"/>
      <c r="G75" s="35"/>
    </row>
    <row r="76" spans="2:7" ht="15">
      <c r="B76" s="34"/>
      <c r="D76" s="36"/>
      <c r="E76" s="35"/>
      <c r="F76" s="39"/>
      <c r="G76" s="35"/>
    </row>
    <row r="77" spans="2:7" ht="15">
      <c r="B77" s="34"/>
      <c r="G77" s="35"/>
    </row>
    <row r="79" spans="2:7" ht="15">
      <c r="B79" s="34"/>
      <c r="G79" s="35"/>
    </row>
    <row r="80" ht="15">
      <c r="D80" s="34"/>
    </row>
    <row r="81" spans="2:7" ht="15">
      <c r="B81" s="34"/>
      <c r="G81" s="39"/>
    </row>
    <row r="83" spans="2:7" ht="15">
      <c r="B83" s="34"/>
      <c r="G83" s="39"/>
    </row>
    <row r="88" spans="11:14" ht="15">
      <c r="K88" s="58"/>
      <c r="N88" s="58"/>
    </row>
    <row r="89" spans="2:14" ht="15">
      <c r="B89" s="35"/>
      <c r="C89" s="35"/>
      <c r="D89" s="35"/>
      <c r="E89" s="35"/>
      <c r="F89" s="35"/>
      <c r="G89" s="35"/>
      <c r="H89" s="35"/>
      <c r="K89" s="58"/>
      <c r="N89" s="58"/>
    </row>
    <row r="91" ht="15">
      <c r="I91" s="34" t="s">
        <v>0</v>
      </c>
    </row>
    <row r="92" spans="9:12" ht="15">
      <c r="I92" s="66"/>
      <c r="L92" s="39"/>
    </row>
    <row r="93" spans="9:13" ht="15">
      <c r="I93" s="67"/>
      <c r="J93" s="67"/>
      <c r="K93" s="67"/>
      <c r="L93" s="67"/>
      <c r="M93" s="67"/>
    </row>
    <row r="94" spans="9:12" ht="15">
      <c r="I94" s="66"/>
      <c r="J94" s="68"/>
      <c r="K94" s="34"/>
      <c r="L94" s="34"/>
    </row>
    <row r="95" spans="9:13" ht="15">
      <c r="I95" s="67"/>
      <c r="J95" s="67"/>
      <c r="K95" s="67"/>
      <c r="L95" s="67"/>
      <c r="M95" s="67"/>
    </row>
    <row r="96" spans="9:13" ht="15">
      <c r="I96" s="34"/>
      <c r="M96" s="34"/>
    </row>
    <row r="97" spans="9:13" ht="15">
      <c r="I97" s="34"/>
      <c r="J97" s="68"/>
      <c r="M97" s="34"/>
    </row>
    <row r="98" spans="9:13" ht="15">
      <c r="I98" s="34"/>
      <c r="J98" s="37"/>
      <c r="M98" s="69"/>
    </row>
    <row r="99" spans="9:11" ht="15">
      <c r="I99" s="66"/>
      <c r="J99" s="70"/>
      <c r="K99" s="66"/>
    </row>
    <row r="101" spans="9:11" ht="15">
      <c r="I101" s="66" t="s">
        <v>0</v>
      </c>
      <c r="J101" s="71" t="s">
        <v>0</v>
      </c>
      <c r="K101" s="66" t="s">
        <v>0</v>
      </c>
    </row>
    <row r="102" spans="9:11" ht="15">
      <c r="I102" s="66" t="s">
        <v>0</v>
      </c>
      <c r="J102" s="71" t="s">
        <v>0</v>
      </c>
      <c r="K102" s="66" t="s">
        <v>0</v>
      </c>
    </row>
    <row r="105" ht="15">
      <c r="L105" s="34" t="s">
        <v>0</v>
      </c>
    </row>
    <row r="106" spans="9:11" ht="15">
      <c r="I106" s="66" t="s">
        <v>0</v>
      </c>
      <c r="K106" s="39" t="s">
        <v>0</v>
      </c>
    </row>
    <row r="107" spans="9:12" ht="15">
      <c r="I107" s="34" t="s">
        <v>0</v>
      </c>
      <c r="J107" s="34" t="s">
        <v>0</v>
      </c>
      <c r="K107" s="34" t="s">
        <v>0</v>
      </c>
      <c r="L107" s="34" t="s">
        <v>0</v>
      </c>
    </row>
    <row r="109" ht="15">
      <c r="I109" s="66" t="s">
        <v>0</v>
      </c>
    </row>
    <row r="110" spans="9:12" ht="15">
      <c r="I110" s="34" t="s">
        <v>0</v>
      </c>
      <c r="J110" s="34" t="s">
        <v>0</v>
      </c>
      <c r="K110" s="34" t="s">
        <v>0</v>
      </c>
      <c r="L110" s="34" t="s">
        <v>0</v>
      </c>
    </row>
    <row r="115" spans="6:13" ht="15">
      <c r="F115" s="37"/>
      <c r="G115" s="39"/>
      <c r="M115" s="34" t="s">
        <v>0</v>
      </c>
    </row>
    <row r="116" spans="6:12" ht="15">
      <c r="F116" s="37"/>
      <c r="G116" s="39"/>
      <c r="I116" s="66" t="s">
        <v>0</v>
      </c>
      <c r="J116" s="72" t="s">
        <v>0</v>
      </c>
      <c r="K116" s="72" t="s">
        <v>0</v>
      </c>
      <c r="L116" s="72" t="s">
        <v>0</v>
      </c>
    </row>
    <row r="117" spans="6:12" ht="15">
      <c r="F117" s="37"/>
      <c r="G117" s="39"/>
      <c r="I117" s="66" t="s">
        <v>0</v>
      </c>
      <c r="J117" s="72" t="s">
        <v>0</v>
      </c>
      <c r="K117" s="72" t="s">
        <v>0</v>
      </c>
      <c r="L117" s="72" t="s">
        <v>0</v>
      </c>
    </row>
    <row r="118" spans="6:12" ht="15">
      <c r="F118" s="37"/>
      <c r="G118" s="39"/>
      <c r="I118" s="66" t="s">
        <v>0</v>
      </c>
      <c r="J118" s="72" t="s">
        <v>0</v>
      </c>
      <c r="K118" s="72" t="s">
        <v>0</v>
      </c>
      <c r="L118" s="72" t="s">
        <v>0</v>
      </c>
    </row>
    <row r="119" spans="6:12" ht="15">
      <c r="F119" s="37"/>
      <c r="G119" s="39"/>
      <c r="I119" s="66" t="s">
        <v>0</v>
      </c>
      <c r="J119" s="73" t="s">
        <v>0</v>
      </c>
      <c r="K119" s="73" t="s">
        <v>0</v>
      </c>
      <c r="L119" s="73" t="s">
        <v>0</v>
      </c>
    </row>
    <row r="120" spans="6:9" ht="15">
      <c r="F120" s="37"/>
      <c r="G120" s="39"/>
      <c r="I120" s="66" t="s">
        <v>0</v>
      </c>
    </row>
    <row r="121" spans="6:7" ht="15">
      <c r="F121" s="37"/>
      <c r="G121" s="39"/>
    </row>
    <row r="122" spans="6:12" ht="15">
      <c r="F122" s="37"/>
      <c r="G122" s="39"/>
      <c r="I122" s="34" t="s">
        <v>0</v>
      </c>
      <c r="J122" s="34" t="s">
        <v>0</v>
      </c>
      <c r="K122" s="34" t="s">
        <v>0</v>
      </c>
      <c r="L122" s="34" t="s">
        <v>0</v>
      </c>
    </row>
    <row r="123" spans="6:7" ht="15">
      <c r="F123" s="37"/>
      <c r="G123" s="39"/>
    </row>
    <row r="124" spans="6:7" ht="15">
      <c r="F124" s="37"/>
      <c r="G124" s="39"/>
    </row>
  </sheetData>
  <printOptions/>
  <pageMargins left="0.75" right="0.75" top="1" bottom="1" header="0.5" footer="0.5"/>
  <pageSetup fitToHeight="1" fitToWidth="1" horizontalDpi="300" verticalDpi="300" orientation="portrait" scale="3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112"/>
  <sheetViews>
    <sheetView defaultGridColor="0" zoomScale="90" zoomScaleNormal="90" colorId="9" workbookViewId="0" topLeftCell="A1">
      <selection activeCell="A1" sqref="A1"/>
    </sheetView>
  </sheetViews>
  <sheetFormatPr defaultColWidth="9.00390625" defaultRowHeight="12.75"/>
  <cols>
    <col min="1" max="1" width="9.00390625" style="18" customWidth="1"/>
    <col min="2" max="2" width="11.875" style="18" customWidth="1"/>
    <col min="3" max="3" width="11.75390625" style="18" customWidth="1"/>
    <col min="4" max="4" width="10.125" style="18" customWidth="1"/>
    <col min="5" max="5" width="9.75390625" style="18" customWidth="1"/>
    <col min="6" max="6" width="16.375" style="18" customWidth="1"/>
    <col min="7" max="7" width="11.50390625" style="18" bestFit="1" customWidth="1"/>
    <col min="8" max="11" width="9.00390625" style="18" customWidth="1"/>
    <col min="12" max="12" width="9.875" style="18" bestFit="1" customWidth="1"/>
    <col min="13" max="16384" width="9.00390625" style="18" customWidth="1"/>
  </cols>
  <sheetData>
    <row r="1" spans="1:6" ht="15.75">
      <c r="A1" s="49"/>
      <c r="B1" s="79" t="s">
        <v>306</v>
      </c>
      <c r="D1" s="73"/>
      <c r="E1" s="74"/>
      <c r="F1" s="74"/>
    </row>
    <row r="2" spans="1:2" ht="15">
      <c r="A2" s="49"/>
      <c r="B2" s="34" t="s">
        <v>0</v>
      </c>
    </row>
    <row r="3" spans="1:7" ht="15">
      <c r="A3" s="41" t="s">
        <v>302</v>
      </c>
      <c r="B3" s="14"/>
      <c r="C3" s="14"/>
      <c r="D3" s="80">
        <v>15</v>
      </c>
      <c r="E3" s="25" t="s">
        <v>383</v>
      </c>
      <c r="G3" s="53">
        <v>11</v>
      </c>
    </row>
    <row r="4" spans="1:7" ht="15">
      <c r="A4" s="41" t="s">
        <v>301</v>
      </c>
      <c r="B4" s="14"/>
      <c r="C4" s="14"/>
      <c r="D4" s="57">
        <v>1</v>
      </c>
      <c r="E4" s="45" t="s">
        <v>81</v>
      </c>
      <c r="F4" s="38"/>
      <c r="G4" s="53">
        <v>1.75</v>
      </c>
    </row>
    <row r="5" spans="1:7" ht="15">
      <c r="A5" s="25" t="s">
        <v>307</v>
      </c>
      <c r="B5" s="14"/>
      <c r="C5" s="14"/>
      <c r="D5" s="80">
        <v>105</v>
      </c>
      <c r="E5" s="25" t="s">
        <v>82</v>
      </c>
      <c r="G5" s="53">
        <v>0.35</v>
      </c>
    </row>
    <row r="6" spans="1:7" ht="15">
      <c r="A6" s="45" t="s">
        <v>8</v>
      </c>
      <c r="B6" s="42"/>
      <c r="C6" s="14"/>
      <c r="D6" s="116">
        <v>2</v>
      </c>
      <c r="E6" s="25" t="s">
        <v>384</v>
      </c>
      <c r="G6" s="53">
        <v>9</v>
      </c>
    </row>
    <row r="7" spans="5:7" ht="15">
      <c r="E7" s="45" t="s">
        <v>80</v>
      </c>
      <c r="F7" s="38"/>
      <c r="G7" s="53">
        <v>0</v>
      </c>
    </row>
    <row r="8" spans="5:9" ht="15">
      <c r="E8" s="45" t="s">
        <v>387</v>
      </c>
      <c r="F8" s="38"/>
      <c r="G8" s="53">
        <v>0</v>
      </c>
      <c r="I8" s="18" t="s">
        <v>0</v>
      </c>
    </row>
    <row r="9" spans="5:7" ht="15">
      <c r="E9" s="45" t="s">
        <v>388</v>
      </c>
      <c r="F9" s="38"/>
      <c r="G9" s="53">
        <v>5</v>
      </c>
    </row>
    <row r="10" spans="6:7" ht="15.75">
      <c r="F10" s="28" t="s">
        <v>24</v>
      </c>
      <c r="G10" s="115" t="s">
        <v>34</v>
      </c>
    </row>
    <row r="11" spans="1:8" ht="15.75">
      <c r="A11" s="28" t="s">
        <v>13</v>
      </c>
      <c r="C11" s="101" t="s">
        <v>70</v>
      </c>
      <c r="D11" s="45" t="s">
        <v>303</v>
      </c>
      <c r="E11" s="114" t="s">
        <v>71</v>
      </c>
      <c r="F11" s="111" t="s">
        <v>296</v>
      </c>
      <c r="G11" s="53">
        <v>0.05</v>
      </c>
      <c r="H11" s="38"/>
    </row>
    <row r="12" spans="1:8" ht="15">
      <c r="A12" s="25" t="s">
        <v>16</v>
      </c>
      <c r="C12" s="54">
        <v>38</v>
      </c>
      <c r="D12" s="53">
        <v>10</v>
      </c>
      <c r="E12" s="53">
        <v>0.03</v>
      </c>
      <c r="F12" s="111" t="s">
        <v>294</v>
      </c>
      <c r="G12" s="55">
        <v>0.01</v>
      </c>
      <c r="H12" s="84"/>
    </row>
    <row r="13" spans="1:8" ht="15">
      <c r="A13" s="25" t="s">
        <v>19</v>
      </c>
      <c r="C13" s="54">
        <v>0</v>
      </c>
      <c r="D13" s="53">
        <v>4.1546</v>
      </c>
      <c r="E13" s="53">
        <v>0.07</v>
      </c>
      <c r="F13" s="31"/>
      <c r="G13" s="112" t="s">
        <v>293</v>
      </c>
      <c r="H13" s="84"/>
    </row>
    <row r="14" spans="1:8" ht="15.75" thickBot="1">
      <c r="A14" s="25" t="s">
        <v>21</v>
      </c>
      <c r="C14" s="85">
        <v>120</v>
      </c>
      <c r="D14" s="86">
        <v>0.07</v>
      </c>
      <c r="E14" s="86">
        <v>0.09</v>
      </c>
      <c r="F14" s="111" t="s">
        <v>295</v>
      </c>
      <c r="G14" s="86">
        <v>0</v>
      </c>
      <c r="H14" s="84" t="s">
        <v>0</v>
      </c>
    </row>
    <row r="15" spans="1:10" ht="4.5" customHeight="1" thickBot="1" thickTop="1">
      <c r="A15" s="87" t="s">
        <v>0</v>
      </c>
      <c r="B15" s="87"/>
      <c r="C15" s="87"/>
      <c r="D15" s="87"/>
      <c r="E15" s="88"/>
      <c r="F15" s="88"/>
      <c r="G15" s="87"/>
      <c r="H15" s="89"/>
      <c r="J15" s="18" t="s">
        <v>0</v>
      </c>
    </row>
    <row r="16" spans="1:6" ht="16.5" thickTop="1">
      <c r="A16" s="38"/>
      <c r="B16" s="28" t="s">
        <v>298</v>
      </c>
      <c r="C16" s="38"/>
      <c r="D16" s="35"/>
      <c r="E16" s="35"/>
      <c r="F16" s="35"/>
    </row>
    <row r="17" spans="1:5" ht="15">
      <c r="A17" s="34" t="s">
        <v>0</v>
      </c>
      <c r="E17" s="34" t="s">
        <v>0</v>
      </c>
    </row>
    <row r="18" spans="1:7" ht="15">
      <c r="A18" s="45" t="s">
        <v>396</v>
      </c>
      <c r="B18" s="35"/>
      <c r="C18" s="54">
        <v>70</v>
      </c>
      <c r="E18" s="45" t="s">
        <v>385</v>
      </c>
      <c r="F18" s="35"/>
      <c r="G18" s="53">
        <v>1</v>
      </c>
    </row>
    <row r="19" spans="1:7" ht="15">
      <c r="A19" s="41" t="s">
        <v>398</v>
      </c>
      <c r="C19" s="119">
        <v>1</v>
      </c>
      <c r="E19" s="45" t="s">
        <v>386</v>
      </c>
      <c r="F19" s="35"/>
      <c r="G19" s="53">
        <v>2</v>
      </c>
    </row>
    <row r="20" spans="5:7" ht="15">
      <c r="E20" s="45" t="s">
        <v>389</v>
      </c>
      <c r="F20" s="35"/>
      <c r="G20" s="53">
        <v>0</v>
      </c>
    </row>
    <row r="21" spans="5:7" ht="15">
      <c r="E21" s="45" t="s">
        <v>390</v>
      </c>
      <c r="F21" s="38"/>
      <c r="G21" s="53">
        <v>5</v>
      </c>
    </row>
    <row r="22" spans="1:8" ht="15.75">
      <c r="A22" s="90" t="s">
        <v>13</v>
      </c>
      <c r="B22" s="35"/>
      <c r="C22" s="101" t="s">
        <v>14</v>
      </c>
      <c r="D22" s="45" t="s">
        <v>303</v>
      </c>
      <c r="E22" s="38" t="s">
        <v>0</v>
      </c>
      <c r="F22" s="90" t="s">
        <v>24</v>
      </c>
      <c r="G22" s="78" t="s">
        <v>34</v>
      </c>
      <c r="H22" s="82"/>
    </row>
    <row r="23" spans="1:8" ht="15">
      <c r="A23" s="45" t="s">
        <v>16</v>
      </c>
      <c r="B23" s="35"/>
      <c r="C23" s="54">
        <v>5</v>
      </c>
      <c r="D23" s="53">
        <v>10</v>
      </c>
      <c r="E23" s="37"/>
      <c r="F23" s="101" t="s">
        <v>294</v>
      </c>
      <c r="G23" s="55">
        <v>0.01</v>
      </c>
      <c r="H23" s="84"/>
    </row>
    <row r="24" spans="1:8" ht="15">
      <c r="A24" s="45" t="s">
        <v>19</v>
      </c>
      <c r="B24" s="35"/>
      <c r="C24" s="54">
        <v>0</v>
      </c>
      <c r="D24" s="53">
        <v>0</v>
      </c>
      <c r="E24" s="37"/>
      <c r="F24" s="31"/>
      <c r="G24" s="112" t="s">
        <v>293</v>
      </c>
      <c r="H24" s="113"/>
    </row>
    <row r="25" spans="1:7" ht="15">
      <c r="A25" s="45" t="s">
        <v>21</v>
      </c>
      <c r="B25" s="35"/>
      <c r="C25" s="54">
        <v>70</v>
      </c>
      <c r="D25" s="53">
        <v>0.07</v>
      </c>
      <c r="E25" s="37"/>
      <c r="F25" s="101" t="s">
        <v>295</v>
      </c>
      <c r="G25" s="53">
        <v>0</v>
      </c>
    </row>
    <row r="26" spans="1:6" ht="15">
      <c r="A26" s="35"/>
      <c r="B26" s="35"/>
      <c r="C26" s="35"/>
      <c r="F26" s="35"/>
    </row>
    <row r="27" spans="2:6" ht="15">
      <c r="B27" s="35"/>
      <c r="F27" s="35"/>
    </row>
    <row r="28" spans="2:6" ht="15">
      <c r="B28" s="35"/>
      <c r="F28" s="35"/>
    </row>
    <row r="29" spans="2:6" ht="15">
      <c r="B29" s="35"/>
      <c r="F29" s="35"/>
    </row>
    <row r="30" spans="2:6" ht="15">
      <c r="B30" s="35"/>
      <c r="F30" s="35"/>
    </row>
    <row r="31" spans="2:6" ht="15">
      <c r="B31" s="35"/>
      <c r="F31" s="35"/>
    </row>
    <row r="32" spans="2:6" ht="15">
      <c r="B32" s="35"/>
      <c r="F32" s="35"/>
    </row>
    <row r="33" spans="2:6" ht="15">
      <c r="B33" s="35"/>
      <c r="F33" s="35"/>
    </row>
    <row r="34" spans="2:6" ht="15">
      <c r="B34" s="35"/>
      <c r="F34" s="35"/>
    </row>
    <row r="35" spans="2:6" ht="15">
      <c r="B35" s="35"/>
      <c r="F35" s="35"/>
    </row>
    <row r="36" spans="2:6" ht="15">
      <c r="B36" s="35"/>
      <c r="F36" s="35"/>
    </row>
    <row r="37" spans="2:6" ht="15">
      <c r="B37" s="35"/>
      <c r="F37" s="35"/>
    </row>
    <row r="38" spans="2:6" ht="15">
      <c r="B38" s="35"/>
      <c r="F38" s="35"/>
    </row>
    <row r="39" spans="2:6" ht="15">
      <c r="B39" s="35"/>
      <c r="F39" s="35"/>
    </row>
    <row r="40" spans="2:6" ht="15">
      <c r="B40" s="35"/>
      <c r="F40" s="35"/>
    </row>
    <row r="41" spans="2:6" ht="15">
      <c r="B41" s="35"/>
      <c r="F41" s="35"/>
    </row>
    <row r="42" spans="2:6" ht="15">
      <c r="B42" s="35"/>
      <c r="F42" s="35"/>
    </row>
    <row r="43" spans="2:6" ht="15">
      <c r="B43" s="35"/>
      <c r="F43" s="35"/>
    </row>
    <row r="44" spans="2:6" ht="15">
      <c r="B44" s="35"/>
      <c r="F44" s="35"/>
    </row>
    <row r="45" spans="5:7" ht="15">
      <c r="E45" s="91"/>
      <c r="G45" s="92"/>
    </row>
    <row r="46" spans="5:7" ht="15">
      <c r="E46" s="91"/>
      <c r="G46" s="92"/>
    </row>
    <row r="48" spans="9:13" ht="15">
      <c r="I48" s="18" t="s">
        <v>89</v>
      </c>
      <c r="M48" s="60"/>
    </row>
    <row r="49" spans="6:12" ht="15">
      <c r="F49" s="18" t="s">
        <v>0</v>
      </c>
      <c r="G49" s="18" t="s">
        <v>88</v>
      </c>
      <c r="I49" s="18" t="s">
        <v>95</v>
      </c>
      <c r="L49" s="18" t="s">
        <v>96</v>
      </c>
    </row>
    <row r="50" spans="1:13" ht="15">
      <c r="A50" s="34" t="s">
        <v>1</v>
      </c>
      <c r="D50" s="18" t="s">
        <v>52</v>
      </c>
      <c r="E50" s="60" t="s">
        <v>22</v>
      </c>
      <c r="F50" s="60" t="s">
        <v>93</v>
      </c>
      <c r="G50" s="60" t="s">
        <v>69</v>
      </c>
      <c r="H50" s="60" t="s">
        <v>22</v>
      </c>
      <c r="I50" s="60" t="s">
        <v>93</v>
      </c>
      <c r="J50" s="18" t="s">
        <v>69</v>
      </c>
      <c r="K50" s="60" t="s">
        <v>22</v>
      </c>
      <c r="L50" s="60" t="s">
        <v>28</v>
      </c>
      <c r="M50" s="60" t="s">
        <v>29</v>
      </c>
    </row>
    <row r="51" ht="15">
      <c r="A51" s="34" t="s">
        <v>31</v>
      </c>
    </row>
    <row r="52" spans="1:7" ht="15">
      <c r="A52" s="34" t="s">
        <v>90</v>
      </c>
      <c r="D52" s="83" t="s">
        <v>36</v>
      </c>
      <c r="E52" s="35">
        <f>IF(Results!E8&lt;10,Results!E8*100,Results!E8)</f>
        <v>82</v>
      </c>
      <c r="F52" s="35">
        <f>(Results!E4+($D$3*$D$4)+($D$5*Results!E6))*(1-($D$6/100))/100</f>
        <v>6.5121</v>
      </c>
      <c r="G52" s="35">
        <f>E52*F52</f>
        <v>533.9922</v>
      </c>
    </row>
    <row r="53" spans="1:10" ht="15">
      <c r="A53" s="34" t="s">
        <v>92</v>
      </c>
      <c r="D53" s="83" t="s">
        <v>37</v>
      </c>
      <c r="E53" s="35"/>
      <c r="F53" s="35"/>
      <c r="G53" s="35"/>
      <c r="H53" s="18">
        <f>Results!J4</f>
        <v>0.3</v>
      </c>
      <c r="I53" s="35">
        <f>((($D$3*$D$4)+($D$5*Results!E6))*(1-($D$6/100)))-(($D$6/100*Results!E4))</f>
        <v>201.21</v>
      </c>
      <c r="J53" s="18">
        <f>H53*I53</f>
        <v>60.363</v>
      </c>
    </row>
    <row r="54" spans="1:13" ht="15">
      <c r="A54" s="34" t="s">
        <v>91</v>
      </c>
      <c r="D54" s="83" t="s">
        <v>36</v>
      </c>
      <c r="E54" s="35"/>
      <c r="F54" s="35"/>
      <c r="G54" s="35"/>
      <c r="K54" s="35">
        <f>Results!J5</f>
        <v>2.5</v>
      </c>
      <c r="L54" s="18">
        <f>((F52+(Results!E4/100))/2)*(($D$3+$D$5)/30)</f>
        <v>22.0242</v>
      </c>
      <c r="M54" s="18">
        <f>K54*L54</f>
        <v>55.060500000000005</v>
      </c>
    </row>
    <row r="55" spans="1:13" ht="15">
      <c r="A55" s="34" t="s">
        <v>32</v>
      </c>
      <c r="E55" s="34" t="s">
        <v>0</v>
      </c>
      <c r="G55" s="35">
        <f>G52</f>
        <v>533.9922</v>
      </c>
      <c r="J55" s="18">
        <f>+J53</f>
        <v>60.363</v>
      </c>
      <c r="M55" s="18">
        <f>M54</f>
        <v>55.060500000000005</v>
      </c>
    </row>
    <row r="56" ht="15">
      <c r="E56" s="34" t="s">
        <v>0</v>
      </c>
    </row>
    <row r="57" spans="1:5" ht="15">
      <c r="A57" s="34" t="s">
        <v>33</v>
      </c>
      <c r="E57" s="34" t="s">
        <v>0</v>
      </c>
    </row>
    <row r="58" spans="1:7" ht="15">
      <c r="A58" s="34" t="s">
        <v>35</v>
      </c>
      <c r="D58" s="60" t="s">
        <v>36</v>
      </c>
      <c r="E58" s="35">
        <f>IF(Results!E5&lt;10,Results!E5*100,Results!E5)</f>
        <v>94</v>
      </c>
      <c r="F58" s="35">
        <f>(Results!E4/100)</f>
        <v>4.5</v>
      </c>
      <c r="G58" s="35">
        <f aca="true" t="shared" si="0" ref="G58:G70">E58*F58</f>
        <v>423</v>
      </c>
    </row>
    <row r="59" spans="1:13" ht="15">
      <c r="A59" s="34" t="s">
        <v>19</v>
      </c>
      <c r="D59" s="60" t="s">
        <v>37</v>
      </c>
      <c r="E59" s="35">
        <f>E13</f>
        <v>0.07</v>
      </c>
      <c r="F59" s="39">
        <f>(C13*D13)</f>
        <v>0</v>
      </c>
      <c r="G59" s="35">
        <f t="shared" si="0"/>
        <v>0</v>
      </c>
      <c r="J59" s="18" t="s">
        <v>0</v>
      </c>
      <c r="M59" s="18" t="s">
        <v>0</v>
      </c>
    </row>
    <row r="60" spans="1:13" ht="15">
      <c r="A60" s="34" t="s">
        <v>16</v>
      </c>
      <c r="D60" s="60" t="s">
        <v>37</v>
      </c>
      <c r="E60" s="35">
        <f>E12</f>
        <v>0.03</v>
      </c>
      <c r="F60" s="39">
        <f>(C12*D12)</f>
        <v>380</v>
      </c>
      <c r="G60" s="35">
        <f t="shared" si="0"/>
        <v>11.4</v>
      </c>
      <c r="J60" s="18" t="s">
        <v>0</v>
      </c>
      <c r="M60" s="18" t="s">
        <v>0</v>
      </c>
    </row>
    <row r="61" spans="1:13" ht="15">
      <c r="A61" s="34" t="s">
        <v>38</v>
      </c>
      <c r="D61" s="60" t="s">
        <v>37</v>
      </c>
      <c r="E61" s="35">
        <f>E14</f>
        <v>0.09</v>
      </c>
      <c r="F61" s="39">
        <f>C14*D14</f>
        <v>8.4</v>
      </c>
      <c r="G61" s="39">
        <f t="shared" si="0"/>
        <v>0.756</v>
      </c>
      <c r="J61" s="18" t="s">
        <v>0</v>
      </c>
      <c r="M61" s="18" t="s">
        <v>0</v>
      </c>
    </row>
    <row r="62" spans="1:7" ht="15">
      <c r="A62" s="34" t="s">
        <v>39</v>
      </c>
      <c r="D62" s="60" t="s">
        <v>36</v>
      </c>
      <c r="E62" s="35">
        <f>G5</f>
        <v>0.35</v>
      </c>
      <c r="F62" s="35">
        <f>((Results!E4+($D$3*$D$4)+($D$5*Results!E6))*(1-$D$6/100))/100</f>
        <v>6.5121</v>
      </c>
      <c r="G62" s="35">
        <f t="shared" si="0"/>
        <v>2.279235</v>
      </c>
    </row>
    <row r="63" spans="1:7" ht="15">
      <c r="A63" s="34" t="s">
        <v>40</v>
      </c>
      <c r="D63" s="60" t="s">
        <v>36</v>
      </c>
      <c r="E63" s="35">
        <f>G4</f>
        <v>1.75</v>
      </c>
      <c r="F63" s="35">
        <f>((Results!E4+($D$3*$D$4)+($D$5*Results!E6))*(1-$D$6/100))/100</f>
        <v>6.5121</v>
      </c>
      <c r="G63" s="35">
        <f t="shared" si="0"/>
        <v>11.396175</v>
      </c>
    </row>
    <row r="64" spans="1:13" ht="15">
      <c r="A64" s="34" t="s">
        <v>41</v>
      </c>
      <c r="D64" s="60" t="s">
        <v>42</v>
      </c>
      <c r="E64" s="35">
        <f>G3</f>
        <v>11</v>
      </c>
      <c r="F64" s="39">
        <v>1</v>
      </c>
      <c r="G64" s="35">
        <f t="shared" si="0"/>
        <v>11</v>
      </c>
      <c r="J64" s="18" t="s">
        <v>0</v>
      </c>
      <c r="M64" s="18" t="s">
        <v>0</v>
      </c>
    </row>
    <row r="65" spans="1:13" ht="15">
      <c r="A65" s="34" t="s">
        <v>380</v>
      </c>
      <c r="D65" s="60" t="s">
        <v>42</v>
      </c>
      <c r="E65" s="35"/>
      <c r="F65" s="39"/>
      <c r="G65" s="35"/>
      <c r="J65" s="18">
        <f>G9</f>
        <v>5</v>
      </c>
      <c r="M65" s="18">
        <f>G9</f>
        <v>5</v>
      </c>
    </row>
    <row r="66" spans="1:13" ht="15">
      <c r="A66" s="34" t="s">
        <v>43</v>
      </c>
      <c r="D66" s="60" t="s">
        <v>42</v>
      </c>
      <c r="E66" s="35">
        <f>G6</f>
        <v>9</v>
      </c>
      <c r="F66" s="39">
        <v>1</v>
      </c>
      <c r="G66" s="35">
        <f t="shared" si="0"/>
        <v>9</v>
      </c>
      <c r="J66" s="18">
        <f>+G66</f>
        <v>9</v>
      </c>
      <c r="M66" s="18">
        <f>G66</f>
        <v>9</v>
      </c>
    </row>
    <row r="67" spans="1:13" ht="15">
      <c r="A67" s="34" t="s">
        <v>44</v>
      </c>
      <c r="D67" s="60" t="s">
        <v>45</v>
      </c>
      <c r="E67" s="35">
        <f>IF(Results!J6&lt;1,Results!J6,Results!J6/100)</f>
        <v>0.08</v>
      </c>
      <c r="F67" s="35">
        <f>(SUM(G58:G61)+G64+G66+G68+G70)*((D3+D5)/360)</f>
        <v>151.71866666666665</v>
      </c>
      <c r="G67" s="35">
        <f t="shared" si="0"/>
        <v>12.137493333333332</v>
      </c>
      <c r="I67" s="93">
        <f>(J65+J66)*((D3+D5)/360)</f>
        <v>4.666666666666666</v>
      </c>
      <c r="J67" s="18">
        <f>E67*I67</f>
        <v>0.3733333333333333</v>
      </c>
      <c r="L67" s="93">
        <f>(M65+M66)*((D3+D5)/360)</f>
        <v>4.666666666666666</v>
      </c>
      <c r="M67" s="18">
        <f>E67*L67</f>
        <v>0.3733333333333333</v>
      </c>
    </row>
    <row r="68" spans="1:13" ht="15">
      <c r="A68" s="34" t="s">
        <v>46</v>
      </c>
      <c r="D68" s="60" t="s">
        <v>47</v>
      </c>
      <c r="E68" s="35">
        <f>Results!J7</f>
        <v>0</v>
      </c>
      <c r="F68" s="35">
        <f>(G11*D3)+(G12*D5)+G14</f>
        <v>1.8</v>
      </c>
      <c r="G68" s="35">
        <f t="shared" si="0"/>
        <v>0</v>
      </c>
      <c r="J68" s="18" t="s">
        <v>0</v>
      </c>
      <c r="M68" s="18" t="s">
        <v>0</v>
      </c>
    </row>
    <row r="69" spans="1:7" ht="15">
      <c r="A69" s="34" t="s">
        <v>48</v>
      </c>
      <c r="D69" s="60" t="s">
        <v>45</v>
      </c>
      <c r="E69" s="35">
        <f>G7</f>
        <v>0</v>
      </c>
      <c r="F69" s="39">
        <v>1</v>
      </c>
      <c r="G69" s="35">
        <f t="shared" si="0"/>
        <v>0</v>
      </c>
    </row>
    <row r="70" spans="1:13" ht="15">
      <c r="A70" s="34" t="s">
        <v>49</v>
      </c>
      <c r="D70" s="60" t="s">
        <v>45</v>
      </c>
      <c r="E70" s="35">
        <f>G8</f>
        <v>0</v>
      </c>
      <c r="F70" s="39">
        <v>1</v>
      </c>
      <c r="G70" s="35">
        <f t="shared" si="0"/>
        <v>0</v>
      </c>
      <c r="J70" s="18">
        <f>G70</f>
        <v>0</v>
      </c>
      <c r="M70" s="18">
        <f>G70</f>
        <v>0</v>
      </c>
    </row>
    <row r="71" spans="1:13" ht="15">
      <c r="A71" s="34" t="s">
        <v>50</v>
      </c>
      <c r="D71" s="34" t="s">
        <v>0</v>
      </c>
      <c r="G71" s="35">
        <f>SUM(G58:G70)</f>
        <v>480.96890333333323</v>
      </c>
      <c r="J71" s="18">
        <f>SUM(J59:J70)</f>
        <v>14.373333333333333</v>
      </c>
      <c r="M71" s="18">
        <f>SUM(M59:M70)</f>
        <v>14.373333333333333</v>
      </c>
    </row>
    <row r="72" ht="15">
      <c r="D72" s="34" t="s">
        <v>0</v>
      </c>
    </row>
    <row r="73" spans="1:13" ht="15">
      <c r="A73" s="34" t="s">
        <v>51</v>
      </c>
      <c r="G73" s="35">
        <f>G55-G71</f>
        <v>53.023296666666795</v>
      </c>
      <c r="J73" s="35">
        <f>J55-J71</f>
        <v>45.989666666666665</v>
      </c>
      <c r="M73" s="35">
        <f>M55-M71</f>
        <v>40.68716666666667</v>
      </c>
    </row>
    <row r="74" ht="15">
      <c r="D74" s="34" t="s">
        <v>0</v>
      </c>
    </row>
    <row r="75" spans="1:7" ht="15">
      <c r="A75" s="39" t="s">
        <v>0</v>
      </c>
      <c r="G75" s="39">
        <f>G71/F52</f>
        <v>73.8577268981332</v>
      </c>
    </row>
    <row r="76" spans="1:13" ht="15">
      <c r="A76" s="18" t="s">
        <v>94</v>
      </c>
      <c r="J76" s="18" t="s">
        <v>0</v>
      </c>
      <c r="M76" s="18" t="s">
        <v>0</v>
      </c>
    </row>
    <row r="77" spans="1:13" ht="15">
      <c r="A77" s="34" t="s">
        <v>66</v>
      </c>
      <c r="G77" s="18">
        <f>IF(Results!E7=0,0,($G$55-$G$71)/Results!$E$7)</f>
        <v>26.511648333333397</v>
      </c>
      <c r="J77" s="18">
        <f>IF(Results!E7=0,0,(J55-J71)/Results!E7)</f>
        <v>22.994833333333332</v>
      </c>
      <c r="M77" s="18">
        <f>IF(Results!E7=0,0,(M55-M71)/Results!E7)</f>
        <v>20.343583333333335</v>
      </c>
    </row>
    <row r="79" ht="15">
      <c r="G79" s="18" t="s">
        <v>0</v>
      </c>
    </row>
    <row r="81" spans="1:14" ht="1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5">
      <c r="A82" s="94" t="s">
        <v>108</v>
      </c>
      <c r="B82" s="95"/>
      <c r="C82" s="95"/>
      <c r="D82" s="95"/>
      <c r="E82" s="92"/>
      <c r="F82" s="92"/>
      <c r="G82" s="92"/>
      <c r="H82" s="92"/>
      <c r="I82" s="92" t="s">
        <v>89</v>
      </c>
      <c r="J82" s="92"/>
      <c r="K82" s="92"/>
      <c r="L82" s="92"/>
      <c r="M82" s="96"/>
      <c r="N82" s="92"/>
    </row>
    <row r="83" spans="1:14" ht="15">
      <c r="A83" s="92"/>
      <c r="B83" s="92"/>
      <c r="C83" s="92"/>
      <c r="D83" s="92"/>
      <c r="E83" s="92"/>
      <c r="F83" s="92" t="s">
        <v>0</v>
      </c>
      <c r="G83" s="92" t="s">
        <v>88</v>
      </c>
      <c r="H83" s="92"/>
      <c r="I83" s="92" t="s">
        <v>95</v>
      </c>
      <c r="J83" s="92"/>
      <c r="K83" s="92"/>
      <c r="L83" s="92" t="s">
        <v>96</v>
      </c>
      <c r="M83" s="92"/>
      <c r="N83" s="92"/>
    </row>
    <row r="84" spans="1:14" ht="15">
      <c r="A84" s="97"/>
      <c r="B84" s="92"/>
      <c r="C84" s="92"/>
      <c r="D84" s="92" t="s">
        <v>52</v>
      </c>
      <c r="E84" s="96" t="s">
        <v>22</v>
      </c>
      <c r="F84" s="96" t="s">
        <v>93</v>
      </c>
      <c r="G84" s="96" t="s">
        <v>69</v>
      </c>
      <c r="H84" s="96" t="s">
        <v>22</v>
      </c>
      <c r="I84" s="96" t="s">
        <v>93</v>
      </c>
      <c r="J84" s="92" t="s">
        <v>69</v>
      </c>
      <c r="K84" s="96" t="s">
        <v>22</v>
      </c>
      <c r="L84" s="96" t="s">
        <v>28</v>
      </c>
      <c r="M84" s="96" t="s">
        <v>29</v>
      </c>
      <c r="N84" s="92"/>
    </row>
    <row r="85" spans="1:14" ht="15">
      <c r="A85" s="97" t="s">
        <v>31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</row>
    <row r="86" spans="1:14" ht="15">
      <c r="A86" s="97" t="s">
        <v>90</v>
      </c>
      <c r="B86" s="92"/>
      <c r="C86" s="92"/>
      <c r="D86" s="98" t="s">
        <v>36</v>
      </c>
      <c r="E86" s="95">
        <f>IF(Results!J3&lt;10,Results!J3,Results!J3/100)</f>
        <v>0.74</v>
      </c>
      <c r="F86" s="95">
        <f>((C18*Results!J1)+(F52*100))*(1-(C19/100))</f>
        <v>783.2979</v>
      </c>
      <c r="G86" s="95">
        <f>E86*F86</f>
        <v>579.640446</v>
      </c>
      <c r="H86" s="92"/>
      <c r="I86" s="92"/>
      <c r="J86" s="92"/>
      <c r="K86" s="92"/>
      <c r="L86" s="92"/>
      <c r="M86" s="92"/>
      <c r="N86" s="92"/>
    </row>
    <row r="87" spans="1:14" ht="15">
      <c r="A87" s="97" t="s">
        <v>92</v>
      </c>
      <c r="B87" s="92"/>
      <c r="C87" s="92"/>
      <c r="D87" s="98" t="s">
        <v>37</v>
      </c>
      <c r="E87" s="95"/>
      <c r="F87" s="95"/>
      <c r="G87" s="95"/>
      <c r="H87" s="92">
        <f>Results!J4</f>
        <v>0.3</v>
      </c>
      <c r="I87" s="95">
        <f>F86-(F52*100)</f>
        <v>132.0879</v>
      </c>
      <c r="J87" s="92">
        <f>H87*I87</f>
        <v>39.626369999999994</v>
      </c>
      <c r="K87" s="92"/>
      <c r="L87" s="92"/>
      <c r="M87" s="92"/>
      <c r="N87" s="92"/>
    </row>
    <row r="88" spans="1:14" ht="15">
      <c r="A88" s="97" t="s">
        <v>91</v>
      </c>
      <c r="B88" s="92"/>
      <c r="C88" s="92"/>
      <c r="D88" s="98" t="s">
        <v>36</v>
      </c>
      <c r="E88" s="95"/>
      <c r="F88" s="95"/>
      <c r="G88" s="95"/>
      <c r="H88" s="92"/>
      <c r="I88" s="92"/>
      <c r="J88" s="92"/>
      <c r="K88" s="95">
        <f>Results!J5</f>
        <v>2.5</v>
      </c>
      <c r="L88" s="92">
        <f>((F52+(F86/100))/2*(C18/30))</f>
        <v>16.7359255</v>
      </c>
      <c r="M88" s="92">
        <f>K88*L88</f>
        <v>41.839813750000005</v>
      </c>
      <c r="N88" s="92"/>
    </row>
    <row r="89" spans="1:14" ht="15">
      <c r="A89" s="97" t="s">
        <v>32</v>
      </c>
      <c r="B89" s="92"/>
      <c r="C89" s="92"/>
      <c r="D89" s="92"/>
      <c r="E89" s="97" t="s">
        <v>0</v>
      </c>
      <c r="F89" s="92"/>
      <c r="G89" s="95">
        <f>G86</f>
        <v>579.640446</v>
      </c>
      <c r="H89" s="92"/>
      <c r="I89" s="92"/>
      <c r="J89" s="92">
        <f>+J87</f>
        <v>39.626369999999994</v>
      </c>
      <c r="K89" s="92"/>
      <c r="L89" s="92"/>
      <c r="M89" s="92">
        <f>M88</f>
        <v>41.839813750000005</v>
      </c>
      <c r="N89" s="92"/>
    </row>
    <row r="90" spans="1:14" ht="15">
      <c r="A90" s="92"/>
      <c r="B90" s="92"/>
      <c r="C90" s="92"/>
      <c r="D90" s="92"/>
      <c r="E90" s="97" t="s">
        <v>0</v>
      </c>
      <c r="F90" s="92"/>
      <c r="G90" s="92"/>
      <c r="H90" s="92"/>
      <c r="I90" s="92"/>
      <c r="J90" s="92"/>
      <c r="K90" s="92"/>
      <c r="L90" s="92"/>
      <c r="M90" s="92"/>
      <c r="N90" s="92"/>
    </row>
    <row r="91" spans="1:14" ht="15">
      <c r="A91" s="97" t="s">
        <v>33</v>
      </c>
      <c r="B91" s="92"/>
      <c r="C91" s="92"/>
      <c r="D91" s="92"/>
      <c r="E91" s="97" t="s">
        <v>0</v>
      </c>
      <c r="F91" s="92"/>
      <c r="G91" s="92"/>
      <c r="H91" s="92"/>
      <c r="I91" s="92"/>
      <c r="J91" s="92"/>
      <c r="K91" s="92"/>
      <c r="L91" s="92"/>
      <c r="M91" s="92"/>
      <c r="N91" s="92"/>
    </row>
    <row r="92" spans="1:14" ht="15">
      <c r="A92" s="97" t="s">
        <v>113</v>
      </c>
      <c r="B92" s="92"/>
      <c r="C92" s="92"/>
      <c r="D92" s="96" t="str">
        <f>D52</f>
        <v>cwt</v>
      </c>
      <c r="E92" s="95">
        <f>E52</f>
        <v>82</v>
      </c>
      <c r="F92" s="95">
        <f>F52</f>
        <v>6.5121</v>
      </c>
      <c r="G92" s="95">
        <f aca="true" t="shared" si="1" ref="G92:G103">E92*F92</f>
        <v>533.9922</v>
      </c>
      <c r="H92" s="92"/>
      <c r="I92" s="92"/>
      <c r="J92" s="92" t="s">
        <v>0</v>
      </c>
      <c r="K92" s="92"/>
      <c r="L92" s="92"/>
      <c r="M92" s="92"/>
      <c r="N92" s="92"/>
    </row>
    <row r="93" spans="1:14" ht="15">
      <c r="A93" s="97" t="s">
        <v>19</v>
      </c>
      <c r="B93" s="92"/>
      <c r="C93" s="92"/>
      <c r="D93" s="96" t="s">
        <v>37</v>
      </c>
      <c r="E93" s="95">
        <f>E13</f>
        <v>0.07</v>
      </c>
      <c r="F93" s="99">
        <f>C24*D24</f>
        <v>0</v>
      </c>
      <c r="G93" s="95">
        <f t="shared" si="1"/>
        <v>0</v>
      </c>
      <c r="H93" s="92"/>
      <c r="I93" s="92"/>
      <c r="J93" s="92" t="s">
        <v>0</v>
      </c>
      <c r="K93" s="92"/>
      <c r="L93" s="92"/>
      <c r="M93" s="92" t="s">
        <v>0</v>
      </c>
      <c r="N93" s="92"/>
    </row>
    <row r="94" spans="1:14" ht="15">
      <c r="A94" s="97" t="s">
        <v>16</v>
      </c>
      <c r="B94" s="92"/>
      <c r="C94" s="92"/>
      <c r="D94" s="96" t="s">
        <v>37</v>
      </c>
      <c r="E94" s="95">
        <f>E12</f>
        <v>0.03</v>
      </c>
      <c r="F94" s="99">
        <f>C23*D23</f>
        <v>50</v>
      </c>
      <c r="G94" s="95">
        <f t="shared" si="1"/>
        <v>1.5</v>
      </c>
      <c r="H94" s="92"/>
      <c r="I94" s="92"/>
      <c r="J94" s="92" t="s">
        <v>0</v>
      </c>
      <c r="K94" s="92"/>
      <c r="L94" s="92"/>
      <c r="M94" s="92" t="s">
        <v>0</v>
      </c>
      <c r="N94" s="92"/>
    </row>
    <row r="95" spans="1:14" ht="15">
      <c r="A95" s="97" t="s">
        <v>38</v>
      </c>
      <c r="B95" s="92"/>
      <c r="C95" s="92"/>
      <c r="D95" s="96" t="s">
        <v>37</v>
      </c>
      <c r="E95" s="95">
        <f>E14</f>
        <v>0.09</v>
      </c>
      <c r="F95" s="99">
        <f>C25*D25</f>
        <v>4.9</v>
      </c>
      <c r="G95" s="99">
        <f t="shared" si="1"/>
        <v>0.441</v>
      </c>
      <c r="H95" s="92"/>
      <c r="I95" s="92"/>
      <c r="J95" s="92" t="s">
        <v>0</v>
      </c>
      <c r="K95" s="92"/>
      <c r="L95" s="92"/>
      <c r="M95" s="92" t="s">
        <v>0</v>
      </c>
      <c r="N95" s="92"/>
    </row>
    <row r="96" spans="1:14" ht="15">
      <c r="A96" s="97" t="s">
        <v>110</v>
      </c>
      <c r="B96" s="92"/>
      <c r="C96" s="92"/>
      <c r="D96" s="96" t="s">
        <v>36</v>
      </c>
      <c r="E96" s="95">
        <f>G5</f>
        <v>0.35</v>
      </c>
      <c r="F96" s="95">
        <f>+($F$86/100)-$F$62</f>
        <v>1.3208789999999997</v>
      </c>
      <c r="G96" s="95">
        <f t="shared" si="1"/>
        <v>0.46230764999999985</v>
      </c>
      <c r="H96" s="92"/>
      <c r="I96" s="92"/>
      <c r="J96" s="92"/>
      <c r="K96" s="92"/>
      <c r="L96" s="92"/>
      <c r="M96" s="92"/>
      <c r="N96" s="92"/>
    </row>
    <row r="97" spans="1:14" ht="15">
      <c r="A97" s="97" t="s">
        <v>111</v>
      </c>
      <c r="B97" s="92"/>
      <c r="C97" s="92"/>
      <c r="D97" s="96" t="s">
        <v>36</v>
      </c>
      <c r="E97" s="95">
        <f>G4</f>
        <v>1.75</v>
      </c>
      <c r="F97" s="95">
        <f>+($F$86/100)-$F$63</f>
        <v>1.3208789999999997</v>
      </c>
      <c r="G97" s="95">
        <f t="shared" si="1"/>
        <v>2.3115382499999995</v>
      </c>
      <c r="H97" s="92"/>
      <c r="I97" s="92"/>
      <c r="J97" s="92"/>
      <c r="K97" s="92"/>
      <c r="L97" s="92"/>
      <c r="M97" s="92"/>
      <c r="N97" s="92"/>
    </row>
    <row r="98" spans="1:14" ht="15">
      <c r="A98" s="97" t="s">
        <v>41</v>
      </c>
      <c r="B98" s="92"/>
      <c r="C98" s="92"/>
      <c r="D98" s="96" t="s">
        <v>42</v>
      </c>
      <c r="E98" s="95">
        <f>G18</f>
        <v>1</v>
      </c>
      <c r="F98" s="99">
        <v>1</v>
      </c>
      <c r="G98" s="95">
        <f t="shared" si="1"/>
        <v>1</v>
      </c>
      <c r="H98" s="92"/>
      <c r="I98" s="92"/>
      <c r="J98" s="92" t="s">
        <v>0</v>
      </c>
      <c r="K98" s="92"/>
      <c r="L98" s="92"/>
      <c r="M98" s="92" t="s">
        <v>0</v>
      </c>
      <c r="N98" s="92"/>
    </row>
    <row r="99" spans="1:14" ht="15">
      <c r="A99" s="34" t="s">
        <v>380</v>
      </c>
      <c r="D99" s="60" t="s">
        <v>42</v>
      </c>
      <c r="E99" s="95"/>
      <c r="F99" s="99"/>
      <c r="G99" s="95"/>
      <c r="H99" s="92"/>
      <c r="I99" s="92"/>
      <c r="J99" s="92">
        <f>G21</f>
        <v>5</v>
      </c>
      <c r="K99" s="92"/>
      <c r="L99" s="92"/>
      <c r="M99" s="92">
        <f>G21</f>
        <v>5</v>
      </c>
      <c r="N99" s="92"/>
    </row>
    <row r="100" spans="1:14" ht="15">
      <c r="A100" s="97" t="s">
        <v>43</v>
      </c>
      <c r="B100" s="92"/>
      <c r="C100" s="92"/>
      <c r="D100" s="96" t="s">
        <v>42</v>
      </c>
      <c r="E100" s="95">
        <f>G19</f>
        <v>2</v>
      </c>
      <c r="F100" s="99">
        <v>1</v>
      </c>
      <c r="G100" s="95">
        <f t="shared" si="1"/>
        <v>2</v>
      </c>
      <c r="H100" s="92"/>
      <c r="I100" s="92"/>
      <c r="J100" s="92">
        <f>+G100</f>
        <v>2</v>
      </c>
      <c r="K100" s="92"/>
      <c r="L100" s="92"/>
      <c r="M100" s="92">
        <f>G100</f>
        <v>2</v>
      </c>
      <c r="N100" s="92"/>
    </row>
    <row r="101" spans="1:14" ht="15">
      <c r="A101" s="97" t="s">
        <v>44</v>
      </c>
      <c r="B101" s="92"/>
      <c r="C101" s="92"/>
      <c r="D101" s="96" t="s">
        <v>45</v>
      </c>
      <c r="E101" s="95">
        <f>IF(Results!J6&lt;1,Results!J6,Results!J6/100)</f>
        <v>0.08</v>
      </c>
      <c r="F101" s="95">
        <f>(SUM(G92:G95)+G98+G100+G102+G103)*(C18/360)</f>
        <v>104.79256666666667</v>
      </c>
      <c r="G101" s="95">
        <f t="shared" si="1"/>
        <v>8.383405333333334</v>
      </c>
      <c r="H101" s="92"/>
      <c r="I101" s="100">
        <f>(J99+J100)*(C18/360)</f>
        <v>1.3611111111111112</v>
      </c>
      <c r="J101" s="92">
        <f>E101*I101</f>
        <v>0.1088888888888889</v>
      </c>
      <c r="K101" s="92"/>
      <c r="L101" s="100">
        <f>(M99+M100)*(C18/360)</f>
        <v>1.3611111111111112</v>
      </c>
      <c r="M101" s="92">
        <f>E101*L101</f>
        <v>0.1088888888888889</v>
      </c>
      <c r="N101" s="92"/>
    </row>
    <row r="102" spans="1:14" ht="15">
      <c r="A102" s="97" t="s">
        <v>46</v>
      </c>
      <c r="B102" s="92"/>
      <c r="C102" s="92"/>
      <c r="D102" s="96" t="s">
        <v>47</v>
      </c>
      <c r="E102" s="95">
        <f>Results!J7</f>
        <v>0</v>
      </c>
      <c r="F102" s="95">
        <f>(G23*C18)+G25</f>
        <v>0.7000000000000001</v>
      </c>
      <c r="G102" s="95">
        <f t="shared" si="1"/>
        <v>0</v>
      </c>
      <c r="H102" s="92"/>
      <c r="I102" s="92"/>
      <c r="J102" s="92" t="s">
        <v>0</v>
      </c>
      <c r="K102" s="92"/>
      <c r="L102" s="92"/>
      <c r="M102" s="92" t="s">
        <v>0</v>
      </c>
      <c r="N102" s="92"/>
    </row>
    <row r="103" spans="1:14" ht="15">
      <c r="A103" s="97" t="s">
        <v>49</v>
      </c>
      <c r="B103" s="92"/>
      <c r="C103" s="92"/>
      <c r="D103" s="96" t="s">
        <v>45</v>
      </c>
      <c r="E103" s="95">
        <f>G20</f>
        <v>0</v>
      </c>
      <c r="F103" s="99">
        <v>1</v>
      </c>
      <c r="G103" s="95">
        <f t="shared" si="1"/>
        <v>0</v>
      </c>
      <c r="H103" s="92"/>
      <c r="I103" s="92"/>
      <c r="J103" s="92">
        <f>G103</f>
        <v>0</v>
      </c>
      <c r="K103" s="92"/>
      <c r="L103" s="92"/>
      <c r="M103" s="92">
        <f>G103</f>
        <v>0</v>
      </c>
      <c r="N103" s="92"/>
    </row>
    <row r="104" spans="1:14" ht="15">
      <c r="A104" s="97" t="s">
        <v>50</v>
      </c>
      <c r="B104" s="92"/>
      <c r="C104" s="92"/>
      <c r="D104" s="97" t="s">
        <v>0</v>
      </c>
      <c r="E104" s="92"/>
      <c r="F104" s="92"/>
      <c r="G104" s="95">
        <f>SUM(G92:G103)</f>
        <v>550.0904512333334</v>
      </c>
      <c r="H104" s="92"/>
      <c r="I104" s="92"/>
      <c r="J104" s="92">
        <f>SUM(J93:J103)</f>
        <v>7.108888888888889</v>
      </c>
      <c r="K104" s="92"/>
      <c r="L104" s="92"/>
      <c r="M104" s="92">
        <f>SUM(M93:M103)</f>
        <v>7.108888888888889</v>
      </c>
      <c r="N104" s="92"/>
    </row>
    <row r="105" spans="1:14" ht="15">
      <c r="A105" s="92"/>
      <c r="B105" s="92"/>
      <c r="C105" s="92"/>
      <c r="D105" s="97" t="s">
        <v>0</v>
      </c>
      <c r="E105" s="92"/>
      <c r="F105" s="92"/>
      <c r="G105" s="92"/>
      <c r="H105" s="92"/>
      <c r="I105" s="92"/>
      <c r="J105" s="92"/>
      <c r="K105" s="92"/>
      <c r="L105" s="92"/>
      <c r="M105" s="92"/>
      <c r="N105" s="92"/>
    </row>
    <row r="106" spans="1:14" ht="15">
      <c r="A106" s="97" t="s">
        <v>51</v>
      </c>
      <c r="B106" s="92"/>
      <c r="C106" s="92"/>
      <c r="D106" s="92"/>
      <c r="E106" s="92"/>
      <c r="F106" s="92"/>
      <c r="G106" s="95">
        <f>G89-G104</f>
        <v>29.5499947666666</v>
      </c>
      <c r="H106" s="92"/>
      <c r="I106" s="92"/>
      <c r="J106" s="95">
        <f>J89-J104</f>
        <v>32.5174811111111</v>
      </c>
      <c r="K106" s="92"/>
      <c r="L106" s="92"/>
      <c r="M106" s="95">
        <f>M89-M104</f>
        <v>34.73092486111111</v>
      </c>
      <c r="N106" s="92"/>
    </row>
    <row r="107" spans="1:14" ht="15">
      <c r="A107" s="92" t="s">
        <v>112</v>
      </c>
      <c r="B107" s="94"/>
      <c r="C107" s="95"/>
      <c r="D107" s="97"/>
      <c r="E107" s="92"/>
      <c r="F107" s="92"/>
      <c r="G107" s="92"/>
      <c r="H107" s="92"/>
      <c r="I107" s="92"/>
      <c r="J107" s="92"/>
      <c r="K107" s="92"/>
      <c r="L107" s="92"/>
      <c r="M107" s="92"/>
      <c r="N107" s="92"/>
    </row>
    <row r="108" spans="1:14" ht="15">
      <c r="A108" s="99" t="s">
        <v>0</v>
      </c>
      <c r="B108" s="92"/>
      <c r="C108" s="92"/>
      <c r="D108" s="92"/>
      <c r="E108" s="92"/>
      <c r="F108" s="92"/>
      <c r="G108" s="99">
        <f>G104/F86</f>
        <v>0.7022748959665708</v>
      </c>
      <c r="H108" s="92"/>
      <c r="I108" s="92"/>
      <c r="J108" s="92"/>
      <c r="K108" s="92"/>
      <c r="L108" s="92"/>
      <c r="M108" s="92"/>
      <c r="N108" s="92"/>
    </row>
    <row r="109" spans="1:14" ht="15">
      <c r="A109" s="92" t="s">
        <v>0</v>
      </c>
      <c r="B109" s="92"/>
      <c r="C109" s="92"/>
      <c r="D109" s="92"/>
      <c r="E109" s="92"/>
      <c r="F109" s="92"/>
      <c r="G109" s="92"/>
      <c r="H109" s="92"/>
      <c r="I109" s="92"/>
      <c r="J109" s="92" t="s">
        <v>0</v>
      </c>
      <c r="K109" s="92"/>
      <c r="L109" s="92"/>
      <c r="M109" s="92" t="s">
        <v>0</v>
      </c>
      <c r="N109" s="92"/>
    </row>
    <row r="110" spans="1:14" ht="15">
      <c r="A110" s="97" t="s">
        <v>66</v>
      </c>
      <c r="B110" s="92"/>
      <c r="C110" s="92"/>
      <c r="D110" s="92"/>
      <c r="E110" s="92"/>
      <c r="F110" s="92"/>
      <c r="G110" s="92">
        <f>IF(Results!J2=0,0,(G89-G104)/Results!J2)</f>
        <v>59.0999895333332</v>
      </c>
      <c r="H110" s="92"/>
      <c r="I110" s="92"/>
      <c r="J110" s="92">
        <f>IF(Results!J2=0,0,(J89-J104)/Results!J2)</f>
        <v>65.0349622222222</v>
      </c>
      <c r="K110" s="92"/>
      <c r="L110" s="92"/>
      <c r="M110" s="92">
        <f>IF(Results!J2=0,0,(M89-M104)/Results!J2)</f>
        <v>69.46184972222223</v>
      </c>
      <c r="N110" s="92"/>
    </row>
    <row r="111" spans="1:14" ht="1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</row>
    <row r="112" spans="1:14" ht="1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</row>
  </sheetData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K4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0.125" style="14" customWidth="1"/>
    <col min="2" max="2" width="11.875" style="14" customWidth="1"/>
    <col min="3" max="3" width="11.00390625" style="14" customWidth="1"/>
    <col min="4" max="4" width="10.50390625" style="14" customWidth="1"/>
    <col min="5" max="6" width="10.125" style="14" customWidth="1"/>
    <col min="7" max="7" width="9.875" style="14" customWidth="1"/>
    <col min="8" max="8" width="10.00390625" style="14" customWidth="1"/>
    <col min="9" max="9" width="10.375" style="14" customWidth="1"/>
    <col min="10" max="15" width="9.00390625" style="14" customWidth="1"/>
    <col min="16" max="16" width="10.125" style="14" customWidth="1"/>
    <col min="17" max="23" width="9.00390625" style="14" customWidth="1"/>
    <col min="24" max="24" width="9.25390625" style="14" bestFit="1" customWidth="1"/>
    <col min="25" max="16384" width="9.00390625" style="14" customWidth="1"/>
  </cols>
  <sheetData>
    <row r="1" spans="1:35" ht="14.25">
      <c r="A1" s="23"/>
      <c r="B1" s="24"/>
      <c r="C1" s="24"/>
      <c r="D1" s="24"/>
      <c r="E1" s="24"/>
      <c r="F1" s="24"/>
      <c r="G1" s="24"/>
      <c r="H1" s="24"/>
      <c r="I1" s="26" t="s">
        <v>305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7"/>
      <c r="Y1" s="10" t="s">
        <v>367</v>
      </c>
      <c r="Z1" s="9"/>
      <c r="AA1" s="8"/>
      <c r="AB1" s="10" t="s">
        <v>372</v>
      </c>
      <c r="AD1" s="23" t="s">
        <v>0</v>
      </c>
      <c r="AF1" s="120"/>
      <c r="AG1" s="120"/>
      <c r="AH1" s="120"/>
      <c r="AI1" s="120"/>
    </row>
    <row r="2" spans="1:37" ht="14.25">
      <c r="A2" s="23"/>
      <c r="B2" s="24"/>
      <c r="C2" s="24"/>
      <c r="D2" s="24"/>
      <c r="E2" s="24"/>
      <c r="F2" s="24"/>
      <c r="G2" s="24"/>
      <c r="H2" s="24"/>
      <c r="I2" s="121" t="s">
        <v>139</v>
      </c>
      <c r="J2" s="121"/>
      <c r="K2" s="121"/>
      <c r="L2" s="121"/>
      <c r="M2" s="121"/>
      <c r="N2" s="121"/>
      <c r="O2" s="24"/>
      <c r="P2" s="121"/>
      <c r="Q2" s="24"/>
      <c r="R2" s="24"/>
      <c r="S2" s="24"/>
      <c r="T2" s="24"/>
      <c r="U2" s="24"/>
      <c r="V2" s="24"/>
      <c r="W2" s="24"/>
      <c r="X2" s="7"/>
      <c r="Y2" s="10" t="s">
        <v>75</v>
      </c>
      <c r="Z2" s="11" t="s">
        <v>367</v>
      </c>
      <c r="AA2" s="10" t="s">
        <v>372</v>
      </c>
      <c r="AB2" s="122" t="s">
        <v>373</v>
      </c>
      <c r="AD2" s="14" t="s">
        <v>0</v>
      </c>
      <c r="AF2" s="120"/>
      <c r="AG2" s="120"/>
      <c r="AH2" s="120"/>
      <c r="AI2" s="120"/>
      <c r="AJ2" s="120"/>
      <c r="AK2" s="123"/>
    </row>
    <row r="3" spans="1:37" ht="15">
      <c r="A3" s="18"/>
      <c r="B3" s="24"/>
      <c r="C3" s="122" t="s">
        <v>130</v>
      </c>
      <c r="D3" s="124" t="s">
        <v>304</v>
      </c>
      <c r="E3" s="122"/>
      <c r="F3" s="122"/>
      <c r="G3" s="122"/>
      <c r="H3" s="122"/>
      <c r="I3" s="121" t="s">
        <v>136</v>
      </c>
      <c r="J3" s="121" t="s">
        <v>141</v>
      </c>
      <c r="K3" s="121" t="s">
        <v>168</v>
      </c>
      <c r="L3" s="121" t="s">
        <v>251</v>
      </c>
      <c r="M3" s="121" t="s">
        <v>171</v>
      </c>
      <c r="N3" s="121" t="s">
        <v>175</v>
      </c>
      <c r="O3" s="122"/>
      <c r="P3" s="121" t="s">
        <v>310</v>
      </c>
      <c r="Q3" s="24"/>
      <c r="R3" s="125" t="s">
        <v>313</v>
      </c>
      <c r="S3" s="24"/>
      <c r="T3" s="122" t="s">
        <v>315</v>
      </c>
      <c r="U3" s="24"/>
      <c r="V3" s="24"/>
      <c r="W3" s="24"/>
      <c r="X3" s="122" t="s">
        <v>130</v>
      </c>
      <c r="Y3" s="10" t="s">
        <v>368</v>
      </c>
      <c r="Z3" s="11" t="s">
        <v>74</v>
      </c>
      <c r="AA3" s="122" t="s">
        <v>373</v>
      </c>
      <c r="AB3" s="122" t="s">
        <v>75</v>
      </c>
      <c r="AD3" s="120"/>
      <c r="AF3" s="120"/>
      <c r="AG3" s="120"/>
      <c r="AH3" s="120"/>
      <c r="AI3" s="120"/>
      <c r="AJ3" s="120"/>
      <c r="AK3" s="120"/>
    </row>
    <row r="4" spans="1:37" ht="15">
      <c r="A4" s="51" t="s">
        <v>0</v>
      </c>
      <c r="B4" s="121"/>
      <c r="C4" s="121" t="s">
        <v>131</v>
      </c>
      <c r="D4" s="121" t="s">
        <v>288</v>
      </c>
      <c r="E4" s="121" t="s">
        <v>289</v>
      </c>
      <c r="F4" s="121" t="s">
        <v>290</v>
      </c>
      <c r="G4" s="121" t="s">
        <v>291</v>
      </c>
      <c r="H4" s="121" t="s">
        <v>292</v>
      </c>
      <c r="I4" s="121" t="s">
        <v>140</v>
      </c>
      <c r="J4" s="121" t="s">
        <v>140</v>
      </c>
      <c r="K4" s="126" t="s">
        <v>169</v>
      </c>
      <c r="L4" s="126" t="s">
        <v>169</v>
      </c>
      <c r="M4" s="126" t="s">
        <v>172</v>
      </c>
      <c r="N4" s="121" t="s">
        <v>176</v>
      </c>
      <c r="O4" s="122"/>
      <c r="P4" s="121" t="s">
        <v>22</v>
      </c>
      <c r="Q4" s="24"/>
      <c r="R4" s="125" t="s">
        <v>314</v>
      </c>
      <c r="S4" s="125"/>
      <c r="T4" s="122" t="s">
        <v>355</v>
      </c>
      <c r="U4" s="24"/>
      <c r="V4" s="24" t="s">
        <v>357</v>
      </c>
      <c r="W4" s="121"/>
      <c r="X4" s="121" t="s">
        <v>131</v>
      </c>
      <c r="Y4" s="127" t="s">
        <v>369</v>
      </c>
      <c r="Z4" s="11" t="s">
        <v>72</v>
      </c>
      <c r="AA4" s="122" t="s">
        <v>75</v>
      </c>
      <c r="AB4" s="122" t="s">
        <v>368</v>
      </c>
      <c r="AD4" s="120"/>
      <c r="AF4" s="120"/>
      <c r="AG4" s="120"/>
      <c r="AH4" s="120"/>
      <c r="AI4" s="120"/>
      <c r="AJ4" s="120"/>
      <c r="AK4" s="120"/>
    </row>
    <row r="5" spans="1:37" ht="15">
      <c r="A5" s="51" t="s">
        <v>166</v>
      </c>
      <c r="B5" s="121"/>
      <c r="C5" s="121" t="s">
        <v>132</v>
      </c>
      <c r="D5" s="121" t="s">
        <v>132</v>
      </c>
      <c r="E5" s="121" t="s">
        <v>132</v>
      </c>
      <c r="F5" s="121" t="s">
        <v>132</v>
      </c>
      <c r="G5" s="121" t="s">
        <v>132</v>
      </c>
      <c r="H5" s="121" t="s">
        <v>132</v>
      </c>
      <c r="I5" s="121" t="s">
        <v>137</v>
      </c>
      <c r="J5" s="121" t="s">
        <v>142</v>
      </c>
      <c r="K5" s="121" t="s">
        <v>170</v>
      </c>
      <c r="L5" s="121" t="s">
        <v>170</v>
      </c>
      <c r="M5" s="121" t="s">
        <v>170</v>
      </c>
      <c r="N5" s="121" t="s">
        <v>170</v>
      </c>
      <c r="O5" s="122"/>
      <c r="P5" s="121" t="s">
        <v>311</v>
      </c>
      <c r="Q5" s="24"/>
      <c r="R5" s="128" t="s">
        <v>315</v>
      </c>
      <c r="S5" s="125"/>
      <c r="T5" s="122" t="s">
        <v>72</v>
      </c>
      <c r="U5" s="24"/>
      <c r="V5" s="24" t="s">
        <v>358</v>
      </c>
      <c r="W5" s="121"/>
      <c r="X5" s="121" t="s">
        <v>132</v>
      </c>
      <c r="Y5" s="14" t="s">
        <v>370</v>
      </c>
      <c r="Z5" s="11" t="s">
        <v>369</v>
      </c>
      <c r="AA5" s="122" t="s">
        <v>368</v>
      </c>
      <c r="AB5" s="12" t="s">
        <v>374</v>
      </c>
      <c r="AD5" s="120"/>
      <c r="AE5" s="120"/>
      <c r="AF5" s="120"/>
      <c r="AG5" s="120"/>
      <c r="AH5" s="120"/>
      <c r="AI5" s="120"/>
      <c r="AJ5" s="120"/>
      <c r="AK5" s="120"/>
    </row>
    <row r="6" spans="1:30" ht="15">
      <c r="A6" s="51" t="s">
        <v>167</v>
      </c>
      <c r="B6" s="121"/>
      <c r="C6" s="121" t="s">
        <v>133</v>
      </c>
      <c r="D6" s="121" t="s">
        <v>133</v>
      </c>
      <c r="E6" s="121" t="s">
        <v>133</v>
      </c>
      <c r="F6" s="121" t="s">
        <v>133</v>
      </c>
      <c r="G6" s="121" t="s">
        <v>133</v>
      </c>
      <c r="H6" s="121" t="s">
        <v>133</v>
      </c>
      <c r="I6" s="121" t="s">
        <v>138</v>
      </c>
      <c r="J6" s="121" t="s">
        <v>138</v>
      </c>
      <c r="K6" s="121" t="s">
        <v>22</v>
      </c>
      <c r="L6" s="121" t="s">
        <v>22</v>
      </c>
      <c r="M6" s="121" t="s">
        <v>22</v>
      </c>
      <c r="N6" s="121" t="s">
        <v>22</v>
      </c>
      <c r="O6" s="122"/>
      <c r="P6" s="121" t="s">
        <v>312</v>
      </c>
      <c r="Q6" s="24"/>
      <c r="R6" s="128" t="s">
        <v>351</v>
      </c>
      <c r="S6" s="128"/>
      <c r="U6" s="24"/>
      <c r="V6" s="24" t="s">
        <v>359</v>
      </c>
      <c r="W6" s="121"/>
      <c r="X6" s="121" t="s">
        <v>133</v>
      </c>
      <c r="Z6" s="127" t="s">
        <v>371</v>
      </c>
      <c r="AB6" s="127" t="s">
        <v>375</v>
      </c>
      <c r="AD6" s="120"/>
    </row>
    <row r="7" spans="1:37" ht="15">
      <c r="A7" s="51" t="s">
        <v>139</v>
      </c>
      <c r="B7" s="121" t="s">
        <v>129</v>
      </c>
      <c r="C7" s="121" t="s">
        <v>134</v>
      </c>
      <c r="D7" s="121" t="s">
        <v>134</v>
      </c>
      <c r="E7" s="121" t="s">
        <v>134</v>
      </c>
      <c r="F7" s="121" t="s">
        <v>134</v>
      </c>
      <c r="G7" s="121" t="s">
        <v>134</v>
      </c>
      <c r="H7" s="121" t="s">
        <v>134</v>
      </c>
      <c r="I7" s="121" t="s">
        <v>143</v>
      </c>
      <c r="J7" s="121" t="s">
        <v>143</v>
      </c>
      <c r="K7" s="126" t="s">
        <v>144</v>
      </c>
      <c r="L7" s="126" t="s">
        <v>144</v>
      </c>
      <c r="M7" s="126" t="s">
        <v>144</v>
      </c>
      <c r="N7" s="126" t="s">
        <v>144</v>
      </c>
      <c r="O7" s="129"/>
      <c r="P7" s="129"/>
      <c r="Q7" s="24"/>
      <c r="R7" s="128" t="s">
        <v>352</v>
      </c>
      <c r="S7" s="130" t="s">
        <v>354</v>
      </c>
      <c r="T7" s="120" t="s">
        <v>356</v>
      </c>
      <c r="U7" s="24"/>
      <c r="V7" s="35" t="s">
        <v>360</v>
      </c>
      <c r="W7" s="121" t="s">
        <v>129</v>
      </c>
      <c r="X7" s="121" t="s">
        <v>134</v>
      </c>
      <c r="Y7" s="121" t="s">
        <v>134</v>
      </c>
      <c r="Z7" s="121" t="s">
        <v>134</v>
      </c>
      <c r="AA7" s="120" t="s">
        <v>356</v>
      </c>
      <c r="AB7" s="120" t="s">
        <v>376</v>
      </c>
      <c r="AD7" s="120"/>
      <c r="AE7" s="33"/>
      <c r="AF7" s="131"/>
      <c r="AG7" s="132"/>
      <c r="AH7" s="131"/>
      <c r="AI7" s="131"/>
      <c r="AJ7" s="131"/>
      <c r="AK7" s="131"/>
    </row>
    <row r="8" spans="1:37" ht="15">
      <c r="A8" s="6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133"/>
      <c r="Q8" s="24"/>
      <c r="R8" s="134" t="s">
        <v>353</v>
      </c>
      <c r="S8" s="130" t="s">
        <v>87</v>
      </c>
      <c r="T8" s="78" t="s">
        <v>87</v>
      </c>
      <c r="U8" s="24"/>
      <c r="V8" s="35" t="s">
        <v>87</v>
      </c>
      <c r="W8" s="24"/>
      <c r="X8" s="24"/>
      <c r="Z8" s="42"/>
      <c r="AA8" s="78" t="s">
        <v>87</v>
      </c>
      <c r="AB8" s="78" t="s">
        <v>87</v>
      </c>
      <c r="AD8" s="120"/>
      <c r="AE8" s="33"/>
      <c r="AF8" s="131"/>
      <c r="AG8" s="132"/>
      <c r="AH8" s="131"/>
      <c r="AI8" s="131"/>
      <c r="AJ8" s="131"/>
      <c r="AK8" s="131"/>
    </row>
    <row r="9" spans="1:37" ht="15">
      <c r="A9" s="63" t="s">
        <v>145</v>
      </c>
      <c r="B9" s="135">
        <v>1977</v>
      </c>
      <c r="C9" s="136">
        <v>27</v>
      </c>
      <c r="D9" s="137">
        <v>27.1</v>
      </c>
      <c r="E9" s="138">
        <v>28.4</v>
      </c>
      <c r="F9" s="138">
        <v>19</v>
      </c>
      <c r="G9" s="138">
        <v>33</v>
      </c>
      <c r="H9" s="138">
        <v>23.6</v>
      </c>
      <c r="I9" s="133">
        <v>2.32</v>
      </c>
      <c r="J9" s="133">
        <v>1.99</v>
      </c>
      <c r="K9" s="133">
        <v>40.09</v>
      </c>
      <c r="L9" s="133">
        <v>38.4</v>
      </c>
      <c r="M9" s="133">
        <v>39.68</v>
      </c>
      <c r="N9" s="133">
        <v>39.28</v>
      </c>
      <c r="O9" s="133"/>
      <c r="P9" s="133">
        <v>47.43</v>
      </c>
      <c r="Q9" s="24"/>
      <c r="R9" s="139">
        <f>(6.8*M9)-(4.5*L9)</f>
        <v>97.02400000000003</v>
      </c>
      <c r="S9" s="139">
        <f>R9/2</f>
        <v>48.512000000000015</v>
      </c>
      <c r="T9" s="140">
        <f>C9*J9</f>
        <v>53.73</v>
      </c>
      <c r="U9" s="24"/>
      <c r="V9" s="35">
        <v>46.3</v>
      </c>
      <c r="W9" s="135">
        <v>1977</v>
      </c>
      <c r="X9" s="136">
        <v>27</v>
      </c>
      <c r="Y9" s="141">
        <f>X9*(2/1.9)</f>
        <v>28.421052631578945</v>
      </c>
      <c r="Z9" s="138">
        <f>Y9*0.9</f>
        <v>25.57894736842105</v>
      </c>
      <c r="AA9" s="14">
        <f>J9*Y9</f>
        <v>56.5578947368421</v>
      </c>
      <c r="AB9" s="142">
        <f>AA9-V9</f>
        <v>10.257894736842104</v>
      </c>
      <c r="AD9" s="120"/>
      <c r="AE9" s="33"/>
      <c r="AF9" s="131"/>
      <c r="AG9" s="132"/>
      <c r="AH9" s="131"/>
      <c r="AI9" s="131"/>
      <c r="AJ9" s="131"/>
      <c r="AK9" s="131"/>
    </row>
    <row r="10" spans="1:37" ht="15">
      <c r="A10" s="63" t="s">
        <v>146</v>
      </c>
      <c r="B10" s="135">
        <v>1978</v>
      </c>
      <c r="C10" s="136">
        <v>27</v>
      </c>
      <c r="D10" s="137">
        <v>21</v>
      </c>
      <c r="E10" s="138">
        <v>25.8</v>
      </c>
      <c r="F10" s="138">
        <v>22.7</v>
      </c>
      <c r="G10" s="138">
        <v>35.9</v>
      </c>
      <c r="H10" s="138">
        <v>26.3</v>
      </c>
      <c r="I10" s="133">
        <v>3.03</v>
      </c>
      <c r="J10" s="133">
        <v>2.86</v>
      </c>
      <c r="K10" s="133">
        <v>44.09</v>
      </c>
      <c r="L10" s="133">
        <v>46.04</v>
      </c>
      <c r="M10" s="133">
        <v>53.35</v>
      </c>
      <c r="N10" s="133">
        <v>56.23</v>
      </c>
      <c r="O10" s="133"/>
      <c r="P10" s="133">
        <v>50.89</v>
      </c>
      <c r="Q10" s="24"/>
      <c r="R10" s="139">
        <f aca="true" t="shared" si="0" ref="R10:R30">(6.8*M10)-(4.5*L10)</f>
        <v>155.59999999999997</v>
      </c>
      <c r="S10" s="139">
        <f aca="true" t="shared" si="1" ref="S10:S30">R10/2</f>
        <v>77.79999999999998</v>
      </c>
      <c r="T10" s="140">
        <f aca="true" t="shared" si="2" ref="T10:T32">C10*J10</f>
        <v>77.22</v>
      </c>
      <c r="U10" s="24"/>
      <c r="V10" s="35">
        <v>46.4</v>
      </c>
      <c r="W10" s="135">
        <v>1978</v>
      </c>
      <c r="X10" s="136">
        <v>27</v>
      </c>
      <c r="Y10" s="141">
        <f aca="true" t="shared" si="3" ref="Y10:Y30">X10*(2/1.9)</f>
        <v>28.421052631578945</v>
      </c>
      <c r="Z10" s="138">
        <f aca="true" t="shared" si="4" ref="Z10:Z30">Y10*0.9</f>
        <v>25.57894736842105</v>
      </c>
      <c r="AA10" s="14">
        <f aca="true" t="shared" si="5" ref="AA10:AA30">J10*Y10</f>
        <v>81.28421052631577</v>
      </c>
      <c r="AB10" s="142">
        <f aca="true" t="shared" si="6" ref="AB10:AB30">AA10-V10</f>
        <v>34.884210526315776</v>
      </c>
      <c r="AD10" s="120"/>
      <c r="AE10" s="33"/>
      <c r="AF10" s="131"/>
      <c r="AG10" s="132"/>
      <c r="AH10" s="131"/>
      <c r="AI10" s="131"/>
      <c r="AJ10" s="131"/>
      <c r="AK10" s="131"/>
    </row>
    <row r="11" spans="1:37" ht="15">
      <c r="A11" s="63" t="s">
        <v>147</v>
      </c>
      <c r="B11" s="135">
        <v>1979</v>
      </c>
      <c r="C11" s="136">
        <v>38</v>
      </c>
      <c r="D11" s="137">
        <v>34.9</v>
      </c>
      <c r="E11" s="138">
        <v>40.6</v>
      </c>
      <c r="F11" s="138">
        <v>39</v>
      </c>
      <c r="G11" s="138">
        <v>41.7</v>
      </c>
      <c r="H11" s="138">
        <v>38.1</v>
      </c>
      <c r="I11" s="133">
        <v>3.91</v>
      </c>
      <c r="J11" s="133">
        <v>3.85</v>
      </c>
      <c r="K11" s="133">
        <v>73.28</v>
      </c>
      <c r="L11" s="133">
        <v>75.68</v>
      </c>
      <c r="M11" s="133">
        <v>89.73</v>
      </c>
      <c r="N11" s="133">
        <v>77.54</v>
      </c>
      <c r="O11" s="133"/>
      <c r="P11" s="133">
        <v>55.23</v>
      </c>
      <c r="Q11" s="24"/>
      <c r="R11" s="139">
        <f t="shared" si="0"/>
        <v>269.6039999999999</v>
      </c>
      <c r="S11" s="139">
        <f t="shared" si="1"/>
        <v>134.80199999999996</v>
      </c>
      <c r="T11" s="140">
        <f t="shared" si="2"/>
        <v>146.3</v>
      </c>
      <c r="U11" s="24"/>
      <c r="V11" s="35">
        <v>56.36</v>
      </c>
      <c r="W11" s="135">
        <v>1979</v>
      </c>
      <c r="X11" s="136">
        <v>38</v>
      </c>
      <c r="Y11" s="141">
        <f t="shared" si="3"/>
        <v>40</v>
      </c>
      <c r="Z11" s="138">
        <f t="shared" si="4"/>
        <v>36</v>
      </c>
      <c r="AA11" s="14">
        <f t="shared" si="5"/>
        <v>154</v>
      </c>
      <c r="AB11" s="142">
        <f t="shared" si="6"/>
        <v>97.64</v>
      </c>
      <c r="AD11" s="120"/>
      <c r="AE11" s="33"/>
      <c r="AF11" s="131"/>
      <c r="AG11" s="143"/>
      <c r="AH11" s="131"/>
      <c r="AI11" s="131"/>
      <c r="AJ11" s="131"/>
      <c r="AK11" s="131"/>
    </row>
    <row r="12" spans="1:37" ht="15">
      <c r="A12" s="63" t="s">
        <v>148</v>
      </c>
      <c r="B12" s="135">
        <v>1980</v>
      </c>
      <c r="C12" s="136">
        <v>30</v>
      </c>
      <c r="D12" s="137">
        <v>32.8</v>
      </c>
      <c r="E12" s="138">
        <v>30.9</v>
      </c>
      <c r="F12" s="138">
        <v>26.8</v>
      </c>
      <c r="G12" s="138">
        <v>35.7</v>
      </c>
      <c r="H12" s="138">
        <v>29.3</v>
      </c>
      <c r="I12" s="133">
        <v>3.83</v>
      </c>
      <c r="J12" s="133">
        <v>3.57</v>
      </c>
      <c r="K12" s="133">
        <v>94.82</v>
      </c>
      <c r="L12" s="133">
        <v>92.14</v>
      </c>
      <c r="M12" s="133">
        <v>77.96</v>
      </c>
      <c r="N12" s="133">
        <v>62.76</v>
      </c>
      <c r="O12" s="133"/>
      <c r="P12" s="133">
        <v>60.33</v>
      </c>
      <c r="Q12" s="24"/>
      <c r="R12" s="139">
        <f t="shared" si="0"/>
        <v>115.49799999999993</v>
      </c>
      <c r="S12" s="139">
        <f t="shared" si="1"/>
        <v>57.74899999999997</v>
      </c>
      <c r="T12" s="140">
        <f t="shared" si="2"/>
        <v>107.1</v>
      </c>
      <c r="U12" s="24"/>
      <c r="V12" s="35">
        <v>67.6</v>
      </c>
      <c r="W12" s="135">
        <v>1980</v>
      </c>
      <c r="X12" s="136">
        <v>30</v>
      </c>
      <c r="Y12" s="141">
        <f t="shared" si="3"/>
        <v>31.57894736842105</v>
      </c>
      <c r="Z12" s="138">
        <f t="shared" si="4"/>
        <v>28.421052631578945</v>
      </c>
      <c r="AA12" s="14">
        <f t="shared" si="5"/>
        <v>112.73684210526315</v>
      </c>
      <c r="AB12" s="142">
        <f t="shared" si="6"/>
        <v>45.136842105263156</v>
      </c>
      <c r="AD12" s="120"/>
      <c r="AE12" s="33"/>
      <c r="AF12" s="131"/>
      <c r="AG12" s="132"/>
      <c r="AH12" s="131"/>
      <c r="AI12" s="131"/>
      <c r="AJ12" s="131"/>
      <c r="AK12" s="131"/>
    </row>
    <row r="13" spans="1:37" ht="15">
      <c r="A13" s="63" t="s">
        <v>149</v>
      </c>
      <c r="B13" s="135">
        <v>1981</v>
      </c>
      <c r="C13" s="136">
        <v>27</v>
      </c>
      <c r="D13" s="144">
        <v>26.3</v>
      </c>
      <c r="E13" s="138">
        <v>23.7</v>
      </c>
      <c r="F13" s="138">
        <v>28.5</v>
      </c>
      <c r="G13" s="138">
        <v>23.2</v>
      </c>
      <c r="H13" s="138">
        <v>23.2</v>
      </c>
      <c r="I13" s="133">
        <v>3.83</v>
      </c>
      <c r="J13" s="133">
        <v>3.82</v>
      </c>
      <c r="K13" s="133">
        <v>80.64</v>
      </c>
      <c r="L13" s="133">
        <v>79.38</v>
      </c>
      <c r="M13" s="133">
        <v>68.15</v>
      </c>
      <c r="N13" s="133">
        <v>61.41</v>
      </c>
      <c r="O13" s="133"/>
      <c r="P13" s="133">
        <v>66.01</v>
      </c>
      <c r="Q13" s="24"/>
      <c r="R13" s="139">
        <f t="shared" si="0"/>
        <v>106.21000000000004</v>
      </c>
      <c r="S13" s="139">
        <f t="shared" si="1"/>
        <v>53.10500000000002</v>
      </c>
      <c r="T13" s="140">
        <f t="shared" si="2"/>
        <v>103.14</v>
      </c>
      <c r="U13" s="24"/>
      <c r="V13" s="35">
        <v>78.14</v>
      </c>
      <c r="W13" s="135">
        <v>1981</v>
      </c>
      <c r="X13" s="136">
        <v>27</v>
      </c>
      <c r="Y13" s="141">
        <f t="shared" si="3"/>
        <v>28.421052631578945</v>
      </c>
      <c r="Z13" s="138">
        <f t="shared" si="4"/>
        <v>25.57894736842105</v>
      </c>
      <c r="AA13" s="14">
        <f t="shared" si="5"/>
        <v>108.56842105263156</v>
      </c>
      <c r="AB13" s="142">
        <f t="shared" si="6"/>
        <v>30.428421052631563</v>
      </c>
      <c r="AD13" s="120"/>
      <c r="AE13" s="33"/>
      <c r="AF13" s="131"/>
      <c r="AG13" s="132"/>
      <c r="AH13" s="131"/>
      <c r="AI13" s="131"/>
      <c r="AJ13" s="131"/>
      <c r="AK13" s="131"/>
    </row>
    <row r="14" spans="1:37" ht="15">
      <c r="A14" s="63" t="s">
        <v>150</v>
      </c>
      <c r="B14" s="135">
        <v>1982</v>
      </c>
      <c r="C14" s="136">
        <v>33</v>
      </c>
      <c r="D14" s="137">
        <v>26.9</v>
      </c>
      <c r="E14" s="138">
        <v>31.7</v>
      </c>
      <c r="F14" s="138">
        <v>32.1</v>
      </c>
      <c r="G14" s="138">
        <v>40</v>
      </c>
      <c r="H14" s="138">
        <v>27.6</v>
      </c>
      <c r="I14" s="133">
        <v>3.65</v>
      </c>
      <c r="J14" s="133">
        <v>3.47</v>
      </c>
      <c r="K14" s="133">
        <v>69.71</v>
      </c>
      <c r="L14" s="133">
        <v>70.07</v>
      </c>
      <c r="M14" s="133">
        <v>65.11</v>
      </c>
      <c r="N14" s="133">
        <v>64.61</v>
      </c>
      <c r="O14" s="133"/>
      <c r="P14" s="133">
        <v>70.17</v>
      </c>
      <c r="Q14" s="24"/>
      <c r="R14" s="139">
        <f t="shared" si="0"/>
        <v>127.43300000000005</v>
      </c>
      <c r="S14" s="139">
        <f t="shared" si="1"/>
        <v>63.716500000000025</v>
      </c>
      <c r="T14" s="140">
        <f t="shared" si="2"/>
        <v>114.51</v>
      </c>
      <c r="U14" s="24"/>
      <c r="V14" s="35">
        <v>75.76</v>
      </c>
      <c r="W14" s="135">
        <v>1982</v>
      </c>
      <c r="X14" s="136">
        <v>33</v>
      </c>
      <c r="Y14" s="141">
        <f t="shared" si="3"/>
        <v>34.73684210526316</v>
      </c>
      <c r="Z14" s="138">
        <f t="shared" si="4"/>
        <v>31.263157894736842</v>
      </c>
      <c r="AA14" s="14">
        <f t="shared" si="5"/>
        <v>120.53684210526316</v>
      </c>
      <c r="AB14" s="142">
        <f t="shared" si="6"/>
        <v>44.77684210526316</v>
      </c>
      <c r="AD14" s="120"/>
      <c r="AE14" s="33"/>
      <c r="AF14" s="131"/>
      <c r="AG14" s="132"/>
      <c r="AH14" s="131"/>
      <c r="AI14" s="131"/>
      <c r="AJ14" s="131"/>
      <c r="AK14" s="131"/>
    </row>
    <row r="15" spans="1:37" ht="15">
      <c r="A15" s="63" t="s">
        <v>151</v>
      </c>
      <c r="B15" s="135">
        <v>1983</v>
      </c>
      <c r="C15" s="136">
        <v>35</v>
      </c>
      <c r="D15" s="137">
        <v>36.6</v>
      </c>
      <c r="E15" s="138">
        <v>31</v>
      </c>
      <c r="F15" s="138">
        <v>39.3</v>
      </c>
      <c r="G15" s="138">
        <v>38</v>
      </c>
      <c r="H15" s="138">
        <v>31.3</v>
      </c>
      <c r="I15" s="133">
        <v>3.51</v>
      </c>
      <c r="J15" s="133">
        <v>3.27</v>
      </c>
      <c r="K15" s="133">
        <v>65.4</v>
      </c>
      <c r="L15" s="133">
        <v>65</v>
      </c>
      <c r="M15" s="133">
        <v>71.16</v>
      </c>
      <c r="N15" s="133">
        <v>62.82</v>
      </c>
      <c r="O15" s="133"/>
      <c r="P15" s="133">
        <v>73.16</v>
      </c>
      <c r="Q15" s="24"/>
      <c r="R15" s="139">
        <f t="shared" si="0"/>
        <v>191.38799999999998</v>
      </c>
      <c r="S15" s="139">
        <f t="shared" si="1"/>
        <v>95.69399999999999</v>
      </c>
      <c r="T15" s="140">
        <f t="shared" si="2"/>
        <v>114.45</v>
      </c>
      <c r="U15" s="24"/>
      <c r="V15" s="35">
        <v>73.3</v>
      </c>
      <c r="W15" s="135">
        <v>1983</v>
      </c>
      <c r="X15" s="136">
        <v>35</v>
      </c>
      <c r="Y15" s="141">
        <f t="shared" si="3"/>
        <v>36.84210526315789</v>
      </c>
      <c r="Z15" s="138">
        <f t="shared" si="4"/>
        <v>33.1578947368421</v>
      </c>
      <c r="AA15" s="14">
        <f t="shared" si="5"/>
        <v>120.4736842105263</v>
      </c>
      <c r="AB15" s="142">
        <f t="shared" si="6"/>
        <v>47.173684210526304</v>
      </c>
      <c r="AD15" s="120"/>
      <c r="AE15" s="33"/>
      <c r="AF15" s="131"/>
      <c r="AG15" s="132"/>
      <c r="AH15" s="131"/>
      <c r="AI15" s="131"/>
      <c r="AJ15" s="131"/>
      <c r="AK15" s="131"/>
    </row>
    <row r="16" spans="1:37" ht="15">
      <c r="A16" s="63" t="s">
        <v>152</v>
      </c>
      <c r="B16" s="135">
        <v>1984</v>
      </c>
      <c r="C16" s="136">
        <v>36</v>
      </c>
      <c r="D16" s="137">
        <v>34.7</v>
      </c>
      <c r="E16" s="138">
        <v>36</v>
      </c>
      <c r="F16" s="138">
        <v>29.2</v>
      </c>
      <c r="G16" s="138">
        <v>39.2</v>
      </c>
      <c r="H16" s="138">
        <v>38</v>
      </c>
      <c r="I16" s="133">
        <v>3.36</v>
      </c>
      <c r="J16" s="133">
        <v>3.35</v>
      </c>
      <c r="K16" s="133">
        <v>67.95</v>
      </c>
      <c r="L16" s="133">
        <v>71.41</v>
      </c>
      <c r="M16" s="133">
        <v>67.7</v>
      </c>
      <c r="N16" s="133">
        <v>59.9</v>
      </c>
      <c r="O16" s="133"/>
      <c r="P16" s="133">
        <v>75.92</v>
      </c>
      <c r="Q16" s="24"/>
      <c r="R16" s="139">
        <f t="shared" si="0"/>
        <v>139.01500000000004</v>
      </c>
      <c r="S16" s="139">
        <f t="shared" si="1"/>
        <v>69.50750000000002</v>
      </c>
      <c r="T16" s="140">
        <f t="shared" si="2"/>
        <v>120.60000000000001</v>
      </c>
      <c r="U16" s="24"/>
      <c r="V16" s="35">
        <v>72.43</v>
      </c>
      <c r="W16" s="135">
        <v>1984</v>
      </c>
      <c r="X16" s="136">
        <v>36</v>
      </c>
      <c r="Y16" s="141">
        <f t="shared" si="3"/>
        <v>37.89473684210526</v>
      </c>
      <c r="Z16" s="138">
        <f t="shared" si="4"/>
        <v>34.10526315789473</v>
      </c>
      <c r="AA16" s="14">
        <f t="shared" si="5"/>
        <v>126.94736842105263</v>
      </c>
      <c r="AB16" s="142">
        <f t="shared" si="6"/>
        <v>54.51736842105262</v>
      </c>
      <c r="AD16" s="120"/>
      <c r="AE16" s="33"/>
      <c r="AF16" s="131"/>
      <c r="AG16" s="132"/>
      <c r="AH16" s="131"/>
      <c r="AI16" s="131"/>
      <c r="AJ16" s="131"/>
      <c r="AK16" s="131"/>
    </row>
    <row r="17" spans="1:37" ht="15">
      <c r="A17" s="63" t="s">
        <v>153</v>
      </c>
      <c r="B17" s="135">
        <v>1985</v>
      </c>
      <c r="C17" s="136">
        <v>30</v>
      </c>
      <c r="D17" s="137">
        <v>35.9</v>
      </c>
      <c r="E17" s="138">
        <v>31.8</v>
      </c>
      <c r="F17" s="138">
        <v>31.6</v>
      </c>
      <c r="G17" s="138">
        <v>30.5</v>
      </c>
      <c r="H17" s="138">
        <v>28.2</v>
      </c>
      <c r="I17" s="133">
        <v>2.91</v>
      </c>
      <c r="J17" s="133">
        <v>2.93</v>
      </c>
      <c r="K17" s="133">
        <v>66.89</v>
      </c>
      <c r="L17" s="133">
        <v>69.05</v>
      </c>
      <c r="M17" s="133">
        <v>67.91</v>
      </c>
      <c r="N17" s="133">
        <v>60.93</v>
      </c>
      <c r="O17" s="133"/>
      <c r="P17" s="133">
        <v>78.53</v>
      </c>
      <c r="Q17" s="122"/>
      <c r="R17" s="139">
        <f t="shared" si="0"/>
        <v>151.063</v>
      </c>
      <c r="S17" s="139">
        <f t="shared" si="1"/>
        <v>75.5315</v>
      </c>
      <c r="T17" s="140">
        <f t="shared" si="2"/>
        <v>87.9</v>
      </c>
      <c r="U17" s="24"/>
      <c r="V17" s="35">
        <v>67.57</v>
      </c>
      <c r="W17" s="135">
        <v>1985</v>
      </c>
      <c r="X17" s="136">
        <v>30</v>
      </c>
      <c r="Y17" s="141">
        <f t="shared" si="3"/>
        <v>31.57894736842105</v>
      </c>
      <c r="Z17" s="138">
        <f t="shared" si="4"/>
        <v>28.421052631578945</v>
      </c>
      <c r="AA17" s="14">
        <f t="shared" si="5"/>
        <v>92.52631578947368</v>
      </c>
      <c r="AB17" s="142">
        <f t="shared" si="6"/>
        <v>24.956315789473692</v>
      </c>
      <c r="AD17" s="120"/>
      <c r="AE17" s="33"/>
      <c r="AF17" s="131"/>
      <c r="AG17" s="132"/>
      <c r="AH17" s="131"/>
      <c r="AI17" s="131"/>
      <c r="AJ17" s="131"/>
      <c r="AK17" s="131"/>
    </row>
    <row r="18" spans="1:37" ht="15">
      <c r="A18" s="63" t="s">
        <v>154</v>
      </c>
      <c r="B18" s="135">
        <v>1986</v>
      </c>
      <c r="C18" s="136">
        <v>29</v>
      </c>
      <c r="D18" s="137">
        <v>29.1</v>
      </c>
      <c r="E18" s="138">
        <v>31.2</v>
      </c>
      <c r="F18" s="138">
        <v>27.6</v>
      </c>
      <c r="G18" s="138">
        <v>31.7</v>
      </c>
      <c r="H18" s="138">
        <v>29</v>
      </c>
      <c r="I18" s="133">
        <v>2.28</v>
      </c>
      <c r="J18" s="133">
        <v>2.25</v>
      </c>
      <c r="K18" s="133">
        <v>71.61</v>
      </c>
      <c r="L18" s="133">
        <v>73.24</v>
      </c>
      <c r="M18" s="133">
        <v>61.45</v>
      </c>
      <c r="N18" s="133">
        <v>50.02</v>
      </c>
      <c r="O18" s="133"/>
      <c r="P18" s="133">
        <v>80.58</v>
      </c>
      <c r="Q18" s="24"/>
      <c r="R18" s="139">
        <f t="shared" si="0"/>
        <v>88.28000000000003</v>
      </c>
      <c r="S18" s="139">
        <f t="shared" si="1"/>
        <v>44.140000000000015</v>
      </c>
      <c r="T18" s="140">
        <f t="shared" si="2"/>
        <v>65.25</v>
      </c>
      <c r="U18" s="24"/>
      <c r="V18" s="35">
        <v>61.58</v>
      </c>
      <c r="W18" s="135">
        <v>1986</v>
      </c>
      <c r="X18" s="136">
        <v>29</v>
      </c>
      <c r="Y18" s="141">
        <f t="shared" si="3"/>
        <v>30.52631578947368</v>
      </c>
      <c r="Z18" s="138">
        <f t="shared" si="4"/>
        <v>27.473684210526315</v>
      </c>
      <c r="AA18" s="14">
        <f t="shared" si="5"/>
        <v>68.68421052631578</v>
      </c>
      <c r="AB18" s="142">
        <f t="shared" si="6"/>
        <v>7.104210526315782</v>
      </c>
      <c r="AD18" s="120"/>
      <c r="AE18" s="33"/>
      <c r="AF18" s="131"/>
      <c r="AG18" s="132"/>
      <c r="AH18" s="131"/>
      <c r="AI18" s="131"/>
      <c r="AJ18" s="131"/>
      <c r="AK18" s="131"/>
    </row>
    <row r="19" spans="1:37" ht="15">
      <c r="A19" s="63" t="s">
        <v>155</v>
      </c>
      <c r="B19" s="135">
        <v>1987</v>
      </c>
      <c r="C19" s="136">
        <v>27</v>
      </c>
      <c r="D19" s="137">
        <v>33.6</v>
      </c>
      <c r="E19" s="138">
        <v>26.5</v>
      </c>
      <c r="F19" s="138">
        <v>22.6</v>
      </c>
      <c r="G19" s="138">
        <v>31.3</v>
      </c>
      <c r="H19" s="138">
        <v>27.6</v>
      </c>
      <c r="I19" s="133">
        <v>2.46</v>
      </c>
      <c r="J19" s="133">
        <v>2.3</v>
      </c>
      <c r="K19" s="133">
        <v>71.94</v>
      </c>
      <c r="L19" s="133">
        <v>72.27</v>
      </c>
      <c r="M19" s="133">
        <v>71.39</v>
      </c>
      <c r="N19" s="133">
        <v>66.88</v>
      </c>
      <c r="O19" s="133"/>
      <c r="P19" s="133">
        <v>83.06</v>
      </c>
      <c r="Q19" s="24"/>
      <c r="R19" s="139">
        <f t="shared" si="0"/>
        <v>160.23700000000002</v>
      </c>
      <c r="S19" s="139">
        <f t="shared" si="1"/>
        <v>80.11850000000001</v>
      </c>
      <c r="T19" s="140">
        <f t="shared" si="2"/>
        <v>62.099999999999994</v>
      </c>
      <c r="U19" s="24"/>
      <c r="V19" s="35">
        <v>56.92</v>
      </c>
      <c r="W19" s="135">
        <v>1987</v>
      </c>
      <c r="X19" s="136">
        <v>27</v>
      </c>
      <c r="Y19" s="141">
        <f t="shared" si="3"/>
        <v>28.421052631578945</v>
      </c>
      <c r="Z19" s="138">
        <f t="shared" si="4"/>
        <v>25.57894736842105</v>
      </c>
      <c r="AA19" s="14">
        <f t="shared" si="5"/>
        <v>65.36842105263158</v>
      </c>
      <c r="AB19" s="142">
        <f t="shared" si="6"/>
        <v>8.448421052631574</v>
      </c>
      <c r="AD19" s="120"/>
      <c r="AE19" s="33"/>
      <c r="AF19" s="131"/>
      <c r="AG19" s="132"/>
      <c r="AH19" s="131"/>
      <c r="AI19" s="131"/>
      <c r="AJ19" s="131"/>
      <c r="AK19" s="131"/>
    </row>
    <row r="20" spans="1:37" ht="15">
      <c r="A20" s="63" t="s">
        <v>156</v>
      </c>
      <c r="B20" s="135">
        <v>1988</v>
      </c>
      <c r="C20" s="136">
        <v>36</v>
      </c>
      <c r="D20" s="137">
        <v>33.6</v>
      </c>
      <c r="E20" s="138">
        <v>35.5</v>
      </c>
      <c r="F20" s="138">
        <v>38.3</v>
      </c>
      <c r="G20" s="138">
        <v>40</v>
      </c>
      <c r="H20" s="138">
        <v>35.4</v>
      </c>
      <c r="I20" s="133">
        <v>3.5</v>
      </c>
      <c r="J20" s="133">
        <v>3.35</v>
      </c>
      <c r="K20" s="133">
        <v>93.38</v>
      </c>
      <c r="L20" s="133">
        <v>95.05</v>
      </c>
      <c r="M20" s="133">
        <v>85.63</v>
      </c>
      <c r="N20" s="133">
        <v>75.47</v>
      </c>
      <c r="O20" s="133"/>
      <c r="P20" s="133">
        <v>86.09</v>
      </c>
      <c r="Q20" s="24"/>
      <c r="R20" s="139">
        <f t="shared" si="0"/>
        <v>154.55900000000003</v>
      </c>
      <c r="S20" s="139">
        <f t="shared" si="1"/>
        <v>77.27950000000001</v>
      </c>
      <c r="T20" s="140">
        <f t="shared" si="2"/>
        <v>120.60000000000001</v>
      </c>
      <c r="U20" s="24"/>
      <c r="V20" s="35">
        <v>61.88</v>
      </c>
      <c r="W20" s="135">
        <v>1988</v>
      </c>
      <c r="X20" s="136">
        <v>36</v>
      </c>
      <c r="Y20" s="141">
        <f t="shared" si="3"/>
        <v>37.89473684210526</v>
      </c>
      <c r="Z20" s="138">
        <f t="shared" si="4"/>
        <v>34.10526315789473</v>
      </c>
      <c r="AA20" s="14">
        <f t="shared" si="5"/>
        <v>126.94736842105263</v>
      </c>
      <c r="AB20" s="142">
        <f t="shared" si="6"/>
        <v>65.06736842105263</v>
      </c>
      <c r="AD20" s="120"/>
      <c r="AE20" s="33"/>
      <c r="AF20" s="131"/>
      <c r="AG20" s="132"/>
      <c r="AH20" s="131"/>
      <c r="AI20" s="131"/>
      <c r="AJ20" s="131"/>
      <c r="AK20" s="131"/>
    </row>
    <row r="21" spans="1:37" ht="15">
      <c r="A21" s="63" t="s">
        <v>157</v>
      </c>
      <c r="B21" s="135">
        <v>1989</v>
      </c>
      <c r="C21" s="136">
        <v>27</v>
      </c>
      <c r="D21" s="137">
        <v>24.1</v>
      </c>
      <c r="E21" s="138">
        <v>29</v>
      </c>
      <c r="F21" s="138">
        <v>21.3</v>
      </c>
      <c r="G21" s="138">
        <v>32.2</v>
      </c>
      <c r="H21" s="138">
        <v>29.3</v>
      </c>
      <c r="I21" s="24">
        <v>3.79</v>
      </c>
      <c r="J21" s="133">
        <v>3.87</v>
      </c>
      <c r="K21" s="133">
        <v>100.55</v>
      </c>
      <c r="L21" s="133">
        <v>102.05</v>
      </c>
      <c r="M21" s="133">
        <v>85.98</v>
      </c>
      <c r="N21" s="133">
        <v>72.74</v>
      </c>
      <c r="O21" s="133"/>
      <c r="P21" s="133">
        <v>89.72</v>
      </c>
      <c r="Q21" s="24"/>
      <c r="R21" s="139">
        <f t="shared" si="0"/>
        <v>125.43900000000002</v>
      </c>
      <c r="S21" s="139">
        <f t="shared" si="1"/>
        <v>62.71950000000001</v>
      </c>
      <c r="T21" s="140">
        <f t="shared" si="2"/>
        <v>104.49000000000001</v>
      </c>
      <c r="U21" s="24"/>
      <c r="V21" s="133">
        <v>62.16</v>
      </c>
      <c r="W21" s="135">
        <v>1989</v>
      </c>
      <c r="X21" s="136">
        <v>27</v>
      </c>
      <c r="Y21" s="141">
        <f t="shared" si="3"/>
        <v>28.421052631578945</v>
      </c>
      <c r="Z21" s="138">
        <f t="shared" si="4"/>
        <v>25.57894736842105</v>
      </c>
      <c r="AA21" s="14">
        <f t="shared" si="5"/>
        <v>109.98947368421052</v>
      </c>
      <c r="AB21" s="142">
        <f t="shared" si="6"/>
        <v>47.82947368421053</v>
      </c>
      <c r="AD21" s="120"/>
      <c r="AE21" s="33"/>
      <c r="AF21" s="131"/>
      <c r="AG21" s="145"/>
      <c r="AH21" s="131"/>
      <c r="AI21" s="131"/>
      <c r="AJ21" s="131"/>
      <c r="AK21" s="131"/>
    </row>
    <row r="22" spans="1:37" ht="15">
      <c r="A22" s="63" t="s">
        <v>158</v>
      </c>
      <c r="B22" s="135">
        <v>1990</v>
      </c>
      <c r="C22" s="136">
        <v>32</v>
      </c>
      <c r="D22" s="137">
        <v>39.5</v>
      </c>
      <c r="E22" s="138">
        <v>29.6</v>
      </c>
      <c r="F22" s="138">
        <v>30.8</v>
      </c>
      <c r="G22" s="138">
        <v>33.8</v>
      </c>
      <c r="H22" s="138">
        <v>28.5</v>
      </c>
      <c r="I22" s="24">
        <v>2.57</v>
      </c>
      <c r="J22" s="133">
        <v>2.91</v>
      </c>
      <c r="K22" s="133">
        <v>100.71</v>
      </c>
      <c r="L22" s="133">
        <v>102.03</v>
      </c>
      <c r="M22" s="133">
        <v>87.85</v>
      </c>
      <c r="N22" s="133">
        <v>81.84</v>
      </c>
      <c r="O22" s="133"/>
      <c r="P22" s="133">
        <v>93.6</v>
      </c>
      <c r="Q22" s="24"/>
      <c r="R22" s="139">
        <f t="shared" si="0"/>
        <v>138.245</v>
      </c>
      <c r="S22" s="139">
        <f t="shared" si="1"/>
        <v>69.1225</v>
      </c>
      <c r="T22" s="140">
        <f t="shared" si="2"/>
        <v>93.12</v>
      </c>
      <c r="U22" s="24"/>
      <c r="V22" s="24">
        <v>65.3</v>
      </c>
      <c r="W22" s="135">
        <v>1990</v>
      </c>
      <c r="X22" s="136">
        <v>32</v>
      </c>
      <c r="Y22" s="141">
        <f t="shared" si="3"/>
        <v>33.68421052631579</v>
      </c>
      <c r="Z22" s="138">
        <f t="shared" si="4"/>
        <v>30.31578947368421</v>
      </c>
      <c r="AA22" s="14">
        <f t="shared" si="5"/>
        <v>98.02105263157895</v>
      </c>
      <c r="AB22" s="142">
        <f t="shared" si="6"/>
        <v>32.72105263157896</v>
      </c>
      <c r="AD22" s="120"/>
      <c r="AE22" s="33"/>
      <c r="AF22" s="131"/>
      <c r="AG22" s="146"/>
      <c r="AH22" s="147"/>
      <c r="AI22" s="147"/>
      <c r="AJ22" s="147"/>
      <c r="AK22" s="147"/>
    </row>
    <row r="23" spans="1:37" ht="15">
      <c r="A23" s="63" t="s">
        <v>159</v>
      </c>
      <c r="B23" s="135">
        <v>1991</v>
      </c>
      <c r="C23" s="136">
        <v>28</v>
      </c>
      <c r="D23" s="148">
        <v>38.4</v>
      </c>
      <c r="E23" s="138">
        <v>26.4</v>
      </c>
      <c r="F23" s="138">
        <v>29.5</v>
      </c>
      <c r="G23" s="138">
        <v>26.2</v>
      </c>
      <c r="H23" s="138">
        <v>25.2</v>
      </c>
      <c r="I23" s="24">
        <v>2.85</v>
      </c>
      <c r="J23" s="133">
        <v>2.5</v>
      </c>
      <c r="K23" s="133">
        <v>104.25</v>
      </c>
      <c r="L23" s="133">
        <v>108.96</v>
      </c>
      <c r="M23" s="133">
        <v>96.38</v>
      </c>
      <c r="N23" s="133">
        <v>84.64</v>
      </c>
      <c r="O23" s="133"/>
      <c r="P23" s="133">
        <v>97.32</v>
      </c>
      <c r="Q23" s="24"/>
      <c r="R23" s="139">
        <f t="shared" si="0"/>
        <v>165.0639999999999</v>
      </c>
      <c r="S23" s="139">
        <f t="shared" si="1"/>
        <v>82.53199999999995</v>
      </c>
      <c r="T23" s="140">
        <f t="shared" si="2"/>
        <v>70</v>
      </c>
      <c r="U23" s="133"/>
      <c r="V23" s="133">
        <v>63.01</v>
      </c>
      <c r="W23" s="135">
        <v>1991</v>
      </c>
      <c r="X23" s="136">
        <v>28</v>
      </c>
      <c r="Y23" s="141">
        <f t="shared" si="3"/>
        <v>29.473684210526315</v>
      </c>
      <c r="Z23" s="138">
        <f t="shared" si="4"/>
        <v>26.526315789473685</v>
      </c>
      <c r="AA23" s="14">
        <f t="shared" si="5"/>
        <v>73.68421052631578</v>
      </c>
      <c r="AB23" s="142">
        <f t="shared" si="6"/>
        <v>10.674210526315782</v>
      </c>
      <c r="AD23" s="120"/>
      <c r="AE23" s="33"/>
      <c r="AF23" s="131"/>
      <c r="AG23" s="149"/>
      <c r="AH23" s="147"/>
      <c r="AI23" s="147"/>
      <c r="AJ23" s="147"/>
      <c r="AK23" s="147"/>
    </row>
    <row r="24" spans="1:37" ht="15">
      <c r="A24" s="63" t="s">
        <v>160</v>
      </c>
      <c r="B24" s="135">
        <v>1992</v>
      </c>
      <c r="C24" s="136">
        <v>28.5</v>
      </c>
      <c r="D24" s="150">
        <v>48.6</v>
      </c>
      <c r="E24" s="151">
        <v>28</v>
      </c>
      <c r="F24" s="151">
        <v>28</v>
      </c>
      <c r="G24" s="151">
        <v>25.1</v>
      </c>
      <c r="H24" s="151">
        <v>27</v>
      </c>
      <c r="I24" s="24">
        <v>3.19</v>
      </c>
      <c r="J24" s="133">
        <v>3.27</v>
      </c>
      <c r="K24" s="133">
        <v>104.63</v>
      </c>
      <c r="L24" s="133">
        <v>101.67</v>
      </c>
      <c r="M24" s="133">
        <v>84.8</v>
      </c>
      <c r="N24" s="133">
        <v>75.79</v>
      </c>
      <c r="O24" s="133"/>
      <c r="P24" s="133">
        <v>100</v>
      </c>
      <c r="Q24" s="24"/>
      <c r="R24" s="139">
        <f t="shared" si="0"/>
        <v>119.125</v>
      </c>
      <c r="S24" s="139">
        <f t="shared" si="1"/>
        <v>59.5625</v>
      </c>
      <c r="T24" s="140">
        <f t="shared" si="2"/>
        <v>93.19500000000001</v>
      </c>
      <c r="U24" s="133"/>
      <c r="V24" s="133">
        <v>61.99</v>
      </c>
      <c r="W24" s="135">
        <v>1992</v>
      </c>
      <c r="X24" s="136">
        <v>28.5</v>
      </c>
      <c r="Y24" s="141">
        <f t="shared" si="3"/>
        <v>30</v>
      </c>
      <c r="Z24" s="138">
        <f t="shared" si="4"/>
        <v>27</v>
      </c>
      <c r="AA24" s="14">
        <f t="shared" si="5"/>
        <v>98.1</v>
      </c>
      <c r="AB24" s="142">
        <f t="shared" si="6"/>
        <v>36.10999999999999</v>
      </c>
      <c r="AD24" s="120"/>
      <c r="AE24" s="33"/>
      <c r="AF24" s="131"/>
      <c r="AG24" s="149"/>
      <c r="AH24" s="147"/>
      <c r="AI24" s="147"/>
      <c r="AJ24" s="147"/>
      <c r="AK24" s="147"/>
    </row>
    <row r="25" spans="1:37" ht="15">
      <c r="A25" s="63" t="s">
        <v>161</v>
      </c>
      <c r="B25" s="135">
        <v>1993</v>
      </c>
      <c r="C25" s="136">
        <v>29</v>
      </c>
      <c r="D25" s="152">
        <v>40.4</v>
      </c>
      <c r="E25" s="151">
        <v>30.5</v>
      </c>
      <c r="F25" s="151">
        <v>31.6</v>
      </c>
      <c r="G25" s="151">
        <v>24.5</v>
      </c>
      <c r="H25" s="151">
        <v>24</v>
      </c>
      <c r="I25" s="24">
        <v>2.94</v>
      </c>
      <c r="J25" s="133">
        <v>2.54</v>
      </c>
      <c r="K25" s="133">
        <v>96</v>
      </c>
      <c r="L25" s="133">
        <v>99.92</v>
      </c>
      <c r="M25" s="133">
        <v>90.49</v>
      </c>
      <c r="N25" s="133">
        <v>83.75</v>
      </c>
      <c r="O25" s="133"/>
      <c r="P25" s="133">
        <v>102.64</v>
      </c>
      <c r="Q25" s="24"/>
      <c r="R25" s="139">
        <f t="shared" si="0"/>
        <v>165.692</v>
      </c>
      <c r="S25" s="139">
        <f t="shared" si="1"/>
        <v>82.846</v>
      </c>
      <c r="T25" s="140">
        <f t="shared" si="2"/>
        <v>73.66</v>
      </c>
      <c r="U25" s="133"/>
      <c r="V25" s="133">
        <v>65.24</v>
      </c>
      <c r="W25" s="135">
        <v>1993</v>
      </c>
      <c r="X25" s="136">
        <v>29</v>
      </c>
      <c r="Y25" s="141">
        <f t="shared" si="3"/>
        <v>30.52631578947368</v>
      </c>
      <c r="Z25" s="138">
        <f t="shared" si="4"/>
        <v>27.473684210526315</v>
      </c>
      <c r="AA25" s="14">
        <f t="shared" si="5"/>
        <v>77.53684210526315</v>
      </c>
      <c r="AB25" s="142">
        <f t="shared" si="6"/>
        <v>12.296842105263153</v>
      </c>
      <c r="AD25" s="120"/>
      <c r="AE25" s="33"/>
      <c r="AF25" s="32"/>
      <c r="AG25" s="149"/>
      <c r="AH25" s="147"/>
      <c r="AI25" s="147"/>
      <c r="AJ25" s="147"/>
      <c r="AK25" s="147"/>
    </row>
    <row r="26" spans="1:37" ht="15">
      <c r="A26" s="63" t="s">
        <v>162</v>
      </c>
      <c r="B26" s="135">
        <v>1994</v>
      </c>
      <c r="C26" s="136">
        <v>27</v>
      </c>
      <c r="D26" s="152">
        <v>29.2</v>
      </c>
      <c r="E26" s="151">
        <v>24.7</v>
      </c>
      <c r="F26" s="151">
        <v>26.1</v>
      </c>
      <c r="G26" s="151">
        <v>30.6</v>
      </c>
      <c r="H26" s="151">
        <v>28.6</v>
      </c>
      <c r="I26" s="24">
        <v>3.41</v>
      </c>
      <c r="J26" s="133">
        <v>3.07</v>
      </c>
      <c r="K26" s="133">
        <v>103.54</v>
      </c>
      <c r="L26" s="133">
        <v>101.34</v>
      </c>
      <c r="M26" s="133">
        <v>89.27</v>
      </c>
      <c r="N26" s="133">
        <v>72.92</v>
      </c>
      <c r="O26" s="133"/>
      <c r="P26" s="133">
        <v>105.09</v>
      </c>
      <c r="Q26" s="24"/>
      <c r="R26" s="139">
        <f t="shared" si="0"/>
        <v>151.00599999999991</v>
      </c>
      <c r="S26" s="139">
        <f t="shared" si="1"/>
        <v>75.50299999999996</v>
      </c>
      <c r="T26" s="140">
        <f t="shared" si="2"/>
        <v>82.89</v>
      </c>
      <c r="U26" s="24"/>
      <c r="V26" s="24">
        <v>75.95</v>
      </c>
      <c r="W26" s="135">
        <v>1994</v>
      </c>
      <c r="X26" s="136">
        <v>27</v>
      </c>
      <c r="Y26" s="141">
        <f t="shared" si="3"/>
        <v>28.421052631578945</v>
      </c>
      <c r="Z26" s="138">
        <f t="shared" si="4"/>
        <v>25.57894736842105</v>
      </c>
      <c r="AA26" s="14">
        <f t="shared" si="5"/>
        <v>87.25263157894736</v>
      </c>
      <c r="AB26" s="142">
        <f t="shared" si="6"/>
        <v>11.302631578947356</v>
      </c>
      <c r="AD26" s="120"/>
      <c r="AE26" s="33"/>
      <c r="AF26" s="32"/>
      <c r="AG26" s="149"/>
      <c r="AH26" s="147"/>
      <c r="AI26" s="147"/>
      <c r="AJ26" s="147"/>
      <c r="AK26" s="147"/>
    </row>
    <row r="27" spans="1:37" ht="15">
      <c r="A27" s="63" t="s">
        <v>163</v>
      </c>
      <c r="B27" s="135">
        <v>1995</v>
      </c>
      <c r="C27" s="141">
        <v>21</v>
      </c>
      <c r="D27" s="152">
        <v>20.7</v>
      </c>
      <c r="E27" s="151">
        <v>21.8</v>
      </c>
      <c r="F27" s="151">
        <v>22.4</v>
      </c>
      <c r="G27" s="151">
        <v>19.3</v>
      </c>
      <c r="H27" s="151">
        <v>22</v>
      </c>
      <c r="I27" s="24">
        <v>4.41</v>
      </c>
      <c r="J27" s="133">
        <v>3.88</v>
      </c>
      <c r="K27" s="133">
        <v>87.83</v>
      </c>
      <c r="L27" s="133">
        <v>91.18</v>
      </c>
      <c r="M27" s="133">
        <v>74.72</v>
      </c>
      <c r="N27" s="133">
        <v>62.12</v>
      </c>
      <c r="O27" s="133"/>
      <c r="P27" s="133">
        <v>107.76</v>
      </c>
      <c r="Q27" s="24"/>
      <c r="R27" s="139">
        <f t="shared" si="0"/>
        <v>97.78599999999994</v>
      </c>
      <c r="S27" s="139">
        <f t="shared" si="1"/>
        <v>48.89299999999997</v>
      </c>
      <c r="T27" s="140">
        <f t="shared" si="2"/>
        <v>81.48</v>
      </c>
      <c r="U27" s="24"/>
      <c r="V27" s="24">
        <v>85.88</v>
      </c>
      <c r="W27" s="135">
        <v>1995</v>
      </c>
      <c r="X27" s="141">
        <v>21</v>
      </c>
      <c r="Y27" s="141">
        <f t="shared" si="3"/>
        <v>22.105263157894736</v>
      </c>
      <c r="Z27" s="138">
        <f t="shared" si="4"/>
        <v>19.894736842105264</v>
      </c>
      <c r="AA27" s="14">
        <f t="shared" si="5"/>
        <v>85.76842105263158</v>
      </c>
      <c r="AB27" s="142">
        <f t="shared" si="6"/>
        <v>-0.11157894736841456</v>
      </c>
      <c r="AD27" s="153"/>
      <c r="AE27" s="33"/>
      <c r="AF27" s="32"/>
      <c r="AG27" s="132"/>
      <c r="AH27" s="131"/>
      <c r="AI27" s="131"/>
      <c r="AJ27" s="131"/>
      <c r="AK27" s="131"/>
    </row>
    <row r="28" spans="1:37" ht="15">
      <c r="A28" s="63" t="s">
        <v>164</v>
      </c>
      <c r="B28" s="135">
        <v>1996</v>
      </c>
      <c r="C28" s="141">
        <v>19</v>
      </c>
      <c r="D28" s="152">
        <v>26.8</v>
      </c>
      <c r="E28" s="151">
        <v>18.3</v>
      </c>
      <c r="F28" s="151">
        <v>13.7</v>
      </c>
      <c r="G28" s="151">
        <v>16.2</v>
      </c>
      <c r="H28" s="151">
        <v>17.7</v>
      </c>
      <c r="I28" s="24">
        <v>4.73</v>
      </c>
      <c r="J28" s="133">
        <v>5.48</v>
      </c>
      <c r="K28" s="133">
        <v>67.67</v>
      </c>
      <c r="L28" s="133">
        <v>66.88</v>
      </c>
      <c r="M28" s="133">
        <v>58.1</v>
      </c>
      <c r="N28" s="133">
        <v>54.24</v>
      </c>
      <c r="O28" s="133"/>
      <c r="P28" s="133">
        <v>110.21</v>
      </c>
      <c r="Q28" s="24"/>
      <c r="R28" s="139">
        <f t="shared" si="0"/>
        <v>94.12</v>
      </c>
      <c r="S28" s="139">
        <f t="shared" si="1"/>
        <v>47.06</v>
      </c>
      <c r="T28" s="140">
        <f t="shared" si="2"/>
        <v>104.12</v>
      </c>
      <c r="U28" s="133"/>
      <c r="V28" s="133">
        <v>86.09</v>
      </c>
      <c r="W28" s="135">
        <v>1996</v>
      </c>
      <c r="X28" s="141">
        <v>19</v>
      </c>
      <c r="Y28" s="141">
        <f t="shared" si="3"/>
        <v>20</v>
      </c>
      <c r="Z28" s="138">
        <f t="shared" si="4"/>
        <v>18</v>
      </c>
      <c r="AA28" s="14">
        <f t="shared" si="5"/>
        <v>109.60000000000001</v>
      </c>
      <c r="AB28" s="142">
        <f t="shared" si="6"/>
        <v>23.510000000000005</v>
      </c>
      <c r="AD28" s="153"/>
      <c r="AE28" s="33"/>
      <c r="AF28" s="32"/>
      <c r="AG28" s="143"/>
      <c r="AH28" s="32"/>
      <c r="AI28" s="32"/>
      <c r="AJ28" s="32"/>
      <c r="AK28" s="32"/>
    </row>
    <row r="29" spans="1:35" ht="15">
      <c r="A29" s="105" t="s">
        <v>173</v>
      </c>
      <c r="B29" s="135">
        <v>1997</v>
      </c>
      <c r="C29" s="141">
        <v>33</v>
      </c>
      <c r="D29" s="137">
        <v>20.7</v>
      </c>
      <c r="E29" s="138">
        <v>21.8</v>
      </c>
      <c r="F29" s="138">
        <v>22.4</v>
      </c>
      <c r="G29" s="138">
        <v>19.3</v>
      </c>
      <c r="H29" s="138">
        <v>22</v>
      </c>
      <c r="I29" s="24">
        <v>3.25</v>
      </c>
      <c r="J29" s="133">
        <v>3.28</v>
      </c>
      <c r="K29" s="133">
        <v>66.65</v>
      </c>
      <c r="L29" s="133">
        <v>69.79</v>
      </c>
      <c r="M29" s="133">
        <v>75.13</v>
      </c>
      <c r="N29" s="133">
        <v>74.82</v>
      </c>
      <c r="O29" s="133"/>
      <c r="P29" s="133">
        <v>112.4</v>
      </c>
      <c r="Q29" s="24"/>
      <c r="R29" s="139">
        <f t="shared" si="0"/>
        <v>196.82899999999995</v>
      </c>
      <c r="S29" s="139">
        <f t="shared" si="1"/>
        <v>98.41449999999998</v>
      </c>
      <c r="T29" s="140">
        <f t="shared" si="2"/>
        <v>108.24</v>
      </c>
      <c r="U29" s="133"/>
      <c r="V29" s="24">
        <v>93.35</v>
      </c>
      <c r="W29" s="135">
        <v>1997</v>
      </c>
      <c r="X29" s="141">
        <v>33</v>
      </c>
      <c r="Y29" s="141">
        <f t="shared" si="3"/>
        <v>34.73684210526316</v>
      </c>
      <c r="Z29" s="138">
        <f t="shared" si="4"/>
        <v>31.263157894736842</v>
      </c>
      <c r="AA29" s="14">
        <f t="shared" si="5"/>
        <v>113.93684210526315</v>
      </c>
      <c r="AB29" s="142">
        <f t="shared" si="6"/>
        <v>20.58684210526316</v>
      </c>
      <c r="AG29" s="154"/>
      <c r="AH29" s="42"/>
      <c r="AI29" s="42"/>
    </row>
    <row r="30" spans="1:35" ht="15">
      <c r="A30" s="105" t="s">
        <v>174</v>
      </c>
      <c r="B30" s="135">
        <v>1998</v>
      </c>
      <c r="C30" s="141">
        <v>39</v>
      </c>
      <c r="D30" s="144">
        <v>38</v>
      </c>
      <c r="E30" s="141">
        <v>38.9</v>
      </c>
      <c r="F30" s="141">
        <v>36</v>
      </c>
      <c r="G30" s="141">
        <v>39</v>
      </c>
      <c r="H30" s="141">
        <v>40.5</v>
      </c>
      <c r="I30" s="24"/>
      <c r="J30" s="24">
        <v>2.62</v>
      </c>
      <c r="K30" s="24">
        <v>96.1</v>
      </c>
      <c r="L30" s="24">
        <v>94.93</v>
      </c>
      <c r="M30" s="24">
        <v>81.72</v>
      </c>
      <c r="N30" s="24">
        <v>72.1</v>
      </c>
      <c r="O30" s="24"/>
      <c r="P30" s="24"/>
      <c r="Q30" s="24"/>
      <c r="R30" s="139">
        <f t="shared" si="0"/>
        <v>128.51099999999997</v>
      </c>
      <c r="S30" s="139">
        <f t="shared" si="1"/>
        <v>64.25549999999998</v>
      </c>
      <c r="T30" s="140">
        <f t="shared" si="2"/>
        <v>102.18</v>
      </c>
      <c r="U30" s="133"/>
      <c r="V30" s="133"/>
      <c r="W30" s="135">
        <v>1998</v>
      </c>
      <c r="X30" s="141">
        <v>39</v>
      </c>
      <c r="Y30" s="141">
        <f t="shared" si="3"/>
        <v>41.05263157894736</v>
      </c>
      <c r="Z30" s="138">
        <f t="shared" si="4"/>
        <v>36.94736842105263</v>
      </c>
      <c r="AA30" s="14">
        <f t="shared" si="5"/>
        <v>107.5578947368421</v>
      </c>
      <c r="AB30" s="142">
        <f t="shared" si="6"/>
        <v>107.5578947368421</v>
      </c>
      <c r="AE30" s="33" t="s">
        <v>0</v>
      </c>
      <c r="AG30" s="154"/>
      <c r="AH30" s="42"/>
      <c r="AI30" s="42"/>
    </row>
    <row r="31" spans="1:35" ht="15">
      <c r="A31" s="105"/>
      <c r="B31" s="135"/>
      <c r="C31" s="141"/>
      <c r="D31" s="144"/>
      <c r="E31" s="141"/>
      <c r="F31" s="141"/>
      <c r="G31" s="141"/>
      <c r="H31" s="141"/>
      <c r="I31" s="24"/>
      <c r="J31" s="24"/>
      <c r="K31" s="24"/>
      <c r="L31" s="24"/>
      <c r="M31" s="24"/>
      <c r="N31" s="24"/>
      <c r="O31" s="24"/>
      <c r="P31" s="24"/>
      <c r="Q31" s="24"/>
      <c r="R31" s="155"/>
      <c r="S31" s="155"/>
      <c r="T31" s="140"/>
      <c r="U31" s="133"/>
      <c r="V31" s="133"/>
      <c r="W31" s="24"/>
      <c r="X31" s="156"/>
      <c r="Z31" s="42"/>
      <c r="AB31" s="142"/>
      <c r="AE31" s="33"/>
      <c r="AG31" s="154"/>
      <c r="AH31" s="42"/>
      <c r="AI31" s="42"/>
    </row>
    <row r="32" spans="1:35" ht="15">
      <c r="A32" s="18" t="s">
        <v>343</v>
      </c>
      <c r="B32" s="24"/>
      <c r="C32" s="157">
        <f>AVERAGE(C26:C30)</f>
        <v>27.8</v>
      </c>
      <c r="D32" s="157">
        <f aca="true" t="shared" si="7" ref="D32:N32">AVERAGE(D26:D30)</f>
        <v>27.080000000000002</v>
      </c>
      <c r="E32" s="157">
        <f t="shared" si="7"/>
        <v>25.1</v>
      </c>
      <c r="F32" s="157">
        <f t="shared" si="7"/>
        <v>24.119999999999997</v>
      </c>
      <c r="G32" s="157">
        <f t="shared" si="7"/>
        <v>24.880000000000003</v>
      </c>
      <c r="H32" s="157">
        <f t="shared" si="7"/>
        <v>26.160000000000004</v>
      </c>
      <c r="I32" s="24" t="s">
        <v>0</v>
      </c>
      <c r="J32" s="24">
        <f t="shared" si="7"/>
        <v>3.6659999999999995</v>
      </c>
      <c r="K32" s="24">
        <f t="shared" si="7"/>
        <v>84.35800000000002</v>
      </c>
      <c r="L32" s="24">
        <f t="shared" si="7"/>
        <v>84.824</v>
      </c>
      <c r="M32" s="24">
        <f t="shared" si="7"/>
        <v>75.78800000000001</v>
      </c>
      <c r="N32" s="24">
        <f t="shared" si="7"/>
        <v>67.24000000000001</v>
      </c>
      <c r="O32" s="133"/>
      <c r="P32" s="133"/>
      <c r="Q32" s="24"/>
      <c r="R32" s="158">
        <f>AVERAGE(R26:R30)</f>
        <v>133.65039999999993</v>
      </c>
      <c r="S32" s="158">
        <f>AVERAGE(S26:S30)</f>
        <v>66.82519999999997</v>
      </c>
      <c r="T32" s="140">
        <f t="shared" si="2"/>
        <v>101.91479999999999</v>
      </c>
      <c r="U32" s="133"/>
      <c r="V32" s="133"/>
      <c r="W32" s="24"/>
      <c r="X32" s="156"/>
      <c r="Z32" s="42"/>
      <c r="AB32" s="142"/>
      <c r="AF32" s="33" t="s">
        <v>0</v>
      </c>
      <c r="AG32" s="154" t="s">
        <v>0</v>
      </c>
      <c r="AI32" s="42"/>
    </row>
    <row r="33" spans="1:36" ht="14.25">
      <c r="A33" s="135" t="s">
        <v>135</v>
      </c>
      <c r="C33" s="24"/>
      <c r="D33" s="24"/>
      <c r="E33" s="24"/>
      <c r="F33" s="24"/>
      <c r="G33" s="24"/>
      <c r="H33" s="24"/>
      <c r="I33" s="24"/>
      <c r="J33" s="133"/>
      <c r="K33" s="133"/>
      <c r="L33" s="133"/>
      <c r="M33" s="133"/>
      <c r="N33" s="133"/>
      <c r="O33" s="133"/>
      <c r="P33" s="133"/>
      <c r="Q33" s="24"/>
      <c r="R33" s="24"/>
      <c r="S33" s="24"/>
      <c r="T33" s="133"/>
      <c r="U33" s="133"/>
      <c r="V33" s="133"/>
      <c r="W33" s="24"/>
      <c r="X33" s="156"/>
      <c r="Z33" s="42"/>
      <c r="AB33" s="142"/>
      <c r="AF33" s="159"/>
      <c r="AG33" s="160"/>
      <c r="AJ33" s="161"/>
    </row>
    <row r="34" spans="1:33" ht="15" thickBot="1">
      <c r="A34" s="162" t="s">
        <v>399</v>
      </c>
      <c r="B34" s="24"/>
      <c r="D34" s="135"/>
      <c r="E34" s="135"/>
      <c r="F34" s="135"/>
      <c r="G34" s="135"/>
      <c r="H34" s="135"/>
      <c r="I34" s="24"/>
      <c r="J34" s="24"/>
      <c r="K34" s="133"/>
      <c r="L34" s="133"/>
      <c r="M34" s="133"/>
      <c r="N34" s="133"/>
      <c r="O34" s="133"/>
      <c r="P34" s="133"/>
      <c r="Q34" s="24"/>
      <c r="R34" s="24"/>
      <c r="S34" s="24"/>
      <c r="T34" s="133"/>
      <c r="U34" s="133"/>
      <c r="V34" s="133"/>
      <c r="W34" s="24"/>
      <c r="X34" s="156"/>
      <c r="Z34" s="42"/>
      <c r="AB34" s="142"/>
      <c r="AG34" s="154"/>
    </row>
    <row r="35" spans="1:33" ht="15.75" thickBot="1" thickTop="1">
      <c r="A35" s="163"/>
      <c r="B35" s="164" t="s">
        <v>252</v>
      </c>
      <c r="C35" s="24"/>
      <c r="D35" s="24"/>
      <c r="E35" s="163"/>
      <c r="F35" s="163"/>
      <c r="G35" s="163"/>
      <c r="L35" s="24"/>
      <c r="M35" s="24"/>
      <c r="N35" s="24"/>
      <c r="O35" s="24"/>
      <c r="P35" s="24"/>
      <c r="Q35" s="24"/>
      <c r="R35" s="24"/>
      <c r="S35" s="24"/>
      <c r="T35" s="133"/>
      <c r="U35" s="133"/>
      <c r="V35" s="133"/>
      <c r="W35" s="24"/>
      <c r="X35" s="156"/>
      <c r="Z35" s="42"/>
      <c r="AB35" s="142"/>
      <c r="AG35" s="154"/>
    </row>
    <row r="36" spans="1:33" ht="15.75" thickTop="1">
      <c r="A36" s="18"/>
      <c r="B36" s="135"/>
      <c r="C36" s="122" t="s">
        <v>134</v>
      </c>
      <c r="D36" s="122" t="s">
        <v>134</v>
      </c>
      <c r="E36" s="122" t="s">
        <v>134</v>
      </c>
      <c r="F36" s="122" t="s">
        <v>134</v>
      </c>
      <c r="G36" s="122" t="s">
        <v>134</v>
      </c>
      <c r="H36" s="122" t="s">
        <v>134</v>
      </c>
      <c r="I36" s="122" t="s">
        <v>143</v>
      </c>
      <c r="J36" s="122" t="s">
        <v>143</v>
      </c>
      <c r="K36" s="129" t="s">
        <v>144</v>
      </c>
      <c r="L36" s="129" t="s">
        <v>144</v>
      </c>
      <c r="M36" s="129" t="s">
        <v>144</v>
      </c>
      <c r="N36" s="129" t="s">
        <v>144</v>
      </c>
      <c r="O36" s="133"/>
      <c r="P36" s="133"/>
      <c r="Q36" s="24"/>
      <c r="R36" s="165"/>
      <c r="S36" s="165"/>
      <c r="T36" s="165"/>
      <c r="U36" s="165"/>
      <c r="V36" s="165"/>
      <c r="W36" s="165"/>
      <c r="X36" s="165"/>
      <c r="Y36" s="166"/>
      <c r="Z36" s="166"/>
      <c r="AA36" s="166"/>
      <c r="AB36" s="166"/>
      <c r="AC36" s="166"/>
      <c r="AE36" s="33" t="s">
        <v>0</v>
      </c>
      <c r="AG36" s="154"/>
    </row>
    <row r="37" spans="1:33" ht="15">
      <c r="A37" s="18"/>
      <c r="B37" s="24" t="s">
        <v>259</v>
      </c>
      <c r="C37" s="141">
        <f aca="true" t="shared" si="8" ref="C37:N37">AVERAGE(C20:C29)</f>
        <v>28.05</v>
      </c>
      <c r="D37" s="141">
        <f t="shared" si="8"/>
        <v>32.2</v>
      </c>
      <c r="E37" s="141">
        <f t="shared" si="8"/>
        <v>26.560000000000002</v>
      </c>
      <c r="F37" s="141">
        <f t="shared" si="8"/>
        <v>26.409999999999997</v>
      </c>
      <c r="G37" s="141">
        <f t="shared" si="8"/>
        <v>26.72</v>
      </c>
      <c r="H37" s="141">
        <f t="shared" si="8"/>
        <v>25.97</v>
      </c>
      <c r="I37" s="24">
        <f t="shared" si="8"/>
        <v>3.464</v>
      </c>
      <c r="J37" s="24">
        <f t="shared" si="8"/>
        <v>3.415</v>
      </c>
      <c r="K37" s="24">
        <f t="shared" si="8"/>
        <v>92.52099999999999</v>
      </c>
      <c r="L37" s="24">
        <f t="shared" si="8"/>
        <v>93.887</v>
      </c>
      <c r="M37" s="24">
        <f t="shared" si="8"/>
        <v>82.83500000000001</v>
      </c>
      <c r="N37" s="24">
        <f t="shared" si="8"/>
        <v>73.833</v>
      </c>
      <c r="O37" s="24"/>
      <c r="P37" s="24"/>
      <c r="Q37" s="24"/>
      <c r="R37" s="24"/>
      <c r="S37" s="167"/>
      <c r="T37" s="167"/>
      <c r="U37" s="167"/>
      <c r="V37" s="167"/>
      <c r="W37" s="167"/>
      <c r="X37" s="167"/>
      <c r="Y37" s="23"/>
      <c r="Z37" s="23"/>
      <c r="AA37" s="23"/>
      <c r="AB37" s="23"/>
      <c r="AC37" s="23"/>
      <c r="AF37" s="168"/>
      <c r="AG37" s="154"/>
    </row>
    <row r="38" spans="1:33" ht="15">
      <c r="A38" s="18"/>
      <c r="B38" s="24" t="s">
        <v>260</v>
      </c>
      <c r="C38" s="141">
        <f aca="true" t="shared" si="9" ref="C38:N38">AVERAGE(C25:C29)</f>
        <v>25.8</v>
      </c>
      <c r="D38" s="141">
        <f t="shared" si="9"/>
        <v>27.559999999999995</v>
      </c>
      <c r="E38" s="141">
        <f t="shared" si="9"/>
        <v>23.419999999999998</v>
      </c>
      <c r="F38" s="141">
        <f t="shared" si="9"/>
        <v>23.24</v>
      </c>
      <c r="G38" s="141">
        <f t="shared" si="9"/>
        <v>21.98</v>
      </c>
      <c r="H38" s="141">
        <f t="shared" si="9"/>
        <v>22.86</v>
      </c>
      <c r="I38" s="24">
        <f t="shared" si="9"/>
        <v>3.748</v>
      </c>
      <c r="J38" s="24">
        <f t="shared" si="9"/>
        <v>3.65</v>
      </c>
      <c r="K38" s="24">
        <f t="shared" si="9"/>
        <v>84.33800000000001</v>
      </c>
      <c r="L38" s="24">
        <f t="shared" si="9"/>
        <v>85.822</v>
      </c>
      <c r="M38" s="24">
        <f t="shared" si="9"/>
        <v>77.542</v>
      </c>
      <c r="N38" s="24">
        <f t="shared" si="9"/>
        <v>69.57000000000001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AG38" s="154"/>
    </row>
    <row r="39" spans="1:24" ht="15">
      <c r="A39" s="18"/>
      <c r="B39" s="24" t="s">
        <v>261</v>
      </c>
      <c r="C39" s="141">
        <f aca="true" t="shared" si="10" ref="C39:N39">MIN(C20:C29)</f>
        <v>19</v>
      </c>
      <c r="D39" s="141">
        <f t="shared" si="10"/>
        <v>20.7</v>
      </c>
      <c r="E39" s="141">
        <f t="shared" si="10"/>
        <v>18.3</v>
      </c>
      <c r="F39" s="141">
        <f t="shared" si="10"/>
        <v>13.7</v>
      </c>
      <c r="G39" s="141">
        <f t="shared" si="10"/>
        <v>16.2</v>
      </c>
      <c r="H39" s="141">
        <f t="shared" si="10"/>
        <v>17.7</v>
      </c>
      <c r="I39" s="24">
        <f t="shared" si="10"/>
        <v>2.57</v>
      </c>
      <c r="J39" s="24">
        <f t="shared" si="10"/>
        <v>2.5</v>
      </c>
      <c r="K39" s="24">
        <f t="shared" si="10"/>
        <v>66.65</v>
      </c>
      <c r="L39" s="24">
        <f t="shared" si="10"/>
        <v>66.88</v>
      </c>
      <c r="M39" s="24">
        <f t="shared" si="10"/>
        <v>58.1</v>
      </c>
      <c r="N39" s="24">
        <f t="shared" si="10"/>
        <v>54.24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5">
      <c r="A40" s="18"/>
      <c r="B40" s="24" t="s">
        <v>262</v>
      </c>
      <c r="C40" s="141">
        <f aca="true" t="shared" si="11" ref="C40:N40">MAX(C20:C29)</f>
        <v>36</v>
      </c>
      <c r="D40" s="141">
        <f t="shared" si="11"/>
        <v>48.6</v>
      </c>
      <c r="E40" s="141">
        <f t="shared" si="11"/>
        <v>35.5</v>
      </c>
      <c r="F40" s="141">
        <f t="shared" si="11"/>
        <v>38.3</v>
      </c>
      <c r="G40" s="141">
        <f t="shared" si="11"/>
        <v>40</v>
      </c>
      <c r="H40" s="141">
        <f t="shared" si="11"/>
        <v>35.4</v>
      </c>
      <c r="I40" s="24">
        <f t="shared" si="11"/>
        <v>4.73</v>
      </c>
      <c r="J40" s="24">
        <f t="shared" si="11"/>
        <v>5.48</v>
      </c>
      <c r="K40" s="24">
        <f t="shared" si="11"/>
        <v>104.63</v>
      </c>
      <c r="L40" s="24">
        <f t="shared" si="11"/>
        <v>108.96</v>
      </c>
      <c r="M40" s="24">
        <f t="shared" si="11"/>
        <v>96.38</v>
      </c>
      <c r="N40" s="24">
        <f t="shared" si="11"/>
        <v>84.64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</row>
  </sheetData>
  <hyperlinks>
    <hyperlink ref="B35" r:id="rId1" display="http://www.nass.usda.gov/ok/"/>
  </hyperlinks>
  <printOptions/>
  <pageMargins left="0.75" right="0.75" top="1" bottom="1" header="0.5" footer="0.5"/>
  <pageSetup fitToHeight="1" fitToWidth="1" horizontalDpi="300" verticalDpi="300" orientation="landscape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3:AF12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4" width="9.00390625" style="14" customWidth="1"/>
    <col min="5" max="5" width="8.75390625" style="14" bestFit="1" customWidth="1"/>
    <col min="6" max="6" width="9.00390625" style="14" customWidth="1"/>
    <col min="7" max="7" width="8.75390625" style="14" bestFit="1" customWidth="1"/>
    <col min="8" max="8" width="9.25390625" style="14" bestFit="1" customWidth="1"/>
    <col min="9" max="9" width="11.50390625" style="14" customWidth="1"/>
    <col min="10" max="10" width="10.875" style="14" bestFit="1" customWidth="1"/>
    <col min="11" max="11" width="5.625" style="14" bestFit="1" customWidth="1"/>
    <col min="12" max="12" width="8.50390625" style="14" bestFit="1" customWidth="1"/>
    <col min="13" max="14" width="9.50390625" style="14" bestFit="1" customWidth="1"/>
    <col min="15" max="15" width="8.50390625" style="14" bestFit="1" customWidth="1"/>
    <col min="16" max="26" width="9.00390625" style="14" customWidth="1"/>
    <col min="27" max="27" width="28.125" style="14" customWidth="1"/>
    <col min="28" max="28" width="19.625" style="14" customWidth="1"/>
    <col min="29" max="29" width="20.50390625" style="14" customWidth="1"/>
    <col min="30" max="30" width="18.375" style="14" customWidth="1"/>
    <col min="31" max="31" width="12.875" style="14" customWidth="1"/>
    <col min="32" max="32" width="17.00390625" style="14" customWidth="1"/>
    <col min="33" max="16384" width="9.00390625" style="14" customWidth="1"/>
  </cols>
  <sheetData>
    <row r="3" spans="27:31" ht="12.75">
      <c r="AA3" s="197" t="s">
        <v>317</v>
      </c>
      <c r="AB3" s="197"/>
      <c r="AC3" s="197"/>
      <c r="AD3" s="197"/>
      <c r="AE3" s="197"/>
    </row>
    <row r="4" spans="1:32" ht="13.5" thickBot="1">
      <c r="A4" s="169" t="s">
        <v>344</v>
      </c>
      <c r="F4" s="169" t="s">
        <v>345</v>
      </c>
      <c r="J4" s="14" t="s">
        <v>316</v>
      </c>
      <c r="L4" s="120" t="s">
        <v>267</v>
      </c>
      <c r="O4" s="120" t="s">
        <v>269</v>
      </c>
      <c r="AA4" s="200" t="s">
        <v>318</v>
      </c>
      <c r="AB4" s="200"/>
      <c r="AC4" s="200"/>
      <c r="AD4" s="200"/>
      <c r="AE4" s="200"/>
      <c r="AF4" s="170"/>
    </row>
    <row r="5" spans="1:32" ht="12.75">
      <c r="A5" s="14" t="s">
        <v>129</v>
      </c>
      <c r="B5" s="14" t="s">
        <v>263</v>
      </c>
      <c r="C5" s="14" t="s">
        <v>264</v>
      </c>
      <c r="D5" s="14" t="s">
        <v>265</v>
      </c>
      <c r="E5" s="14" t="s">
        <v>266</v>
      </c>
      <c r="F5" s="14" t="s">
        <v>263</v>
      </c>
      <c r="G5" s="14" t="s">
        <v>264</v>
      </c>
      <c r="H5" s="14" t="s">
        <v>265</v>
      </c>
      <c r="I5" s="14" t="s">
        <v>266</v>
      </c>
      <c r="L5" s="120" t="s">
        <v>268</v>
      </c>
      <c r="O5" s="120" t="s">
        <v>270</v>
      </c>
      <c r="AA5" s="31" t="s">
        <v>319</v>
      </c>
      <c r="AD5" s="31" t="s">
        <v>325</v>
      </c>
      <c r="AE5" s="31" t="s">
        <v>325</v>
      </c>
      <c r="AF5" s="31" t="s">
        <v>328</v>
      </c>
    </row>
    <row r="6" spans="2:32" ht="13.5" thickBot="1">
      <c r="B6" s="120" t="s">
        <v>267</v>
      </c>
      <c r="C6" s="120" t="s">
        <v>268</v>
      </c>
      <c r="D6" s="120" t="s">
        <v>269</v>
      </c>
      <c r="E6" s="120" t="s">
        <v>270</v>
      </c>
      <c r="F6" s="120" t="s">
        <v>267</v>
      </c>
      <c r="G6" s="120" t="s">
        <v>268</v>
      </c>
      <c r="H6" s="120" t="s">
        <v>269</v>
      </c>
      <c r="I6" s="120" t="s">
        <v>270</v>
      </c>
      <c r="J6" s="120" t="s">
        <v>267</v>
      </c>
      <c r="K6" s="120" t="s">
        <v>268</v>
      </c>
      <c r="L6" s="120" t="s">
        <v>284</v>
      </c>
      <c r="M6" s="120" t="s">
        <v>269</v>
      </c>
      <c r="N6" s="120" t="s">
        <v>270</v>
      </c>
      <c r="O6" s="120" t="s">
        <v>284</v>
      </c>
      <c r="AA6" s="171" t="s">
        <v>320</v>
      </c>
      <c r="AB6" s="171" t="s">
        <v>321</v>
      </c>
      <c r="AC6" s="171" t="s">
        <v>337</v>
      </c>
      <c r="AD6" s="171" t="s">
        <v>326</v>
      </c>
      <c r="AE6" s="171" t="s">
        <v>327</v>
      </c>
      <c r="AF6" s="171" t="s">
        <v>329</v>
      </c>
    </row>
    <row r="7" spans="2:30" ht="12.75">
      <c r="B7" s="120" t="s">
        <v>400</v>
      </c>
      <c r="C7" s="120" t="s">
        <v>400</v>
      </c>
      <c r="D7" s="120" t="s">
        <v>400</v>
      </c>
      <c r="E7" s="120" t="s">
        <v>400</v>
      </c>
      <c r="F7" s="120" t="s">
        <v>400</v>
      </c>
      <c r="G7" s="120" t="s">
        <v>400</v>
      </c>
      <c r="H7" s="120" t="s">
        <v>400</v>
      </c>
      <c r="I7" s="120" t="s">
        <v>400</v>
      </c>
      <c r="J7" s="120" t="s">
        <v>285</v>
      </c>
      <c r="K7" s="120" t="s">
        <v>285</v>
      </c>
      <c r="L7" s="120" t="s">
        <v>137</v>
      </c>
      <c r="M7" s="120" t="s">
        <v>286</v>
      </c>
      <c r="N7" s="120" t="s">
        <v>286</v>
      </c>
      <c r="O7" s="120" t="s">
        <v>137</v>
      </c>
      <c r="AA7" s="31"/>
      <c r="AB7" s="31"/>
      <c r="AC7" s="31"/>
      <c r="AD7" s="31"/>
    </row>
    <row r="8" spans="10:32" ht="12.75">
      <c r="J8" s="120"/>
      <c r="K8" s="120"/>
      <c r="L8" s="120" t="s">
        <v>287</v>
      </c>
      <c r="M8" s="120"/>
      <c r="N8" s="120"/>
      <c r="O8" s="120" t="s">
        <v>287</v>
      </c>
      <c r="AA8" s="31"/>
      <c r="AB8" s="31" t="s">
        <v>322</v>
      </c>
      <c r="AC8" s="31" t="s">
        <v>323</v>
      </c>
      <c r="AD8" s="199" t="s">
        <v>338</v>
      </c>
      <c r="AE8" s="199"/>
      <c r="AF8" s="31" t="s">
        <v>324</v>
      </c>
    </row>
    <row r="9" spans="1:27" ht="12.75">
      <c r="A9" s="120" t="s">
        <v>271</v>
      </c>
      <c r="B9" s="172">
        <v>187</v>
      </c>
      <c r="C9" s="172">
        <v>157</v>
      </c>
      <c r="D9" s="172">
        <v>220</v>
      </c>
      <c r="E9" s="172">
        <v>194</v>
      </c>
      <c r="F9" s="172">
        <f>(B9+B10)/2</f>
        <v>183.5</v>
      </c>
      <c r="G9" s="172">
        <f>(C9+C10)/2</f>
        <v>155.5</v>
      </c>
      <c r="H9" s="172">
        <f>(D9+D10)/2</f>
        <v>225.5</v>
      </c>
      <c r="I9" s="172">
        <f>(E9+E10)/2</f>
        <v>200</v>
      </c>
      <c r="J9" s="173">
        <f>F9/(2000*0.82)</f>
        <v>0.11189024390243903</v>
      </c>
      <c r="K9" s="173">
        <f>G9/(2000*0.33)</f>
        <v>0.2356060606060606</v>
      </c>
      <c r="L9" s="173">
        <f>AVERAGE(J9:K9)</f>
        <v>0.1737481522542498</v>
      </c>
      <c r="M9" s="173">
        <f>AVERAGE(K9:L9)</f>
        <v>0.2046771064301552</v>
      </c>
      <c r="N9" s="173">
        <f>AVERAGE(L9:M9)</f>
        <v>0.1892126293422025</v>
      </c>
      <c r="O9" s="173">
        <f>AVERAGE(M9:N9)</f>
        <v>0.19694486788617885</v>
      </c>
      <c r="AA9" s="174" t="s">
        <v>330</v>
      </c>
    </row>
    <row r="10" spans="1:32" ht="12.75">
      <c r="A10" s="120" t="s">
        <v>272</v>
      </c>
      <c r="B10" s="172">
        <v>180</v>
      </c>
      <c r="C10" s="172">
        <v>154</v>
      </c>
      <c r="D10" s="172">
        <v>231</v>
      </c>
      <c r="E10" s="172">
        <v>206</v>
      </c>
      <c r="F10" s="172"/>
      <c r="G10" s="172"/>
      <c r="H10" s="172"/>
      <c r="I10" s="172"/>
      <c r="AA10" s="14" t="s">
        <v>331</v>
      </c>
      <c r="AB10" s="175">
        <v>0.23</v>
      </c>
      <c r="AC10" s="176">
        <v>1</v>
      </c>
      <c r="AD10" s="32">
        <v>0.57</v>
      </c>
      <c r="AE10" s="32">
        <v>0.57</v>
      </c>
      <c r="AF10" s="33">
        <v>648</v>
      </c>
    </row>
    <row r="11" spans="1:32" ht="12.75">
      <c r="A11" s="120" t="s">
        <v>273</v>
      </c>
      <c r="B11" s="172">
        <v>208</v>
      </c>
      <c r="C11" s="172">
        <v>166</v>
      </c>
      <c r="D11" s="172">
        <v>251</v>
      </c>
      <c r="E11" s="172">
        <v>222</v>
      </c>
      <c r="F11" s="172">
        <f>(B11+B12)/2</f>
        <v>199.5</v>
      </c>
      <c r="G11" s="172">
        <f>(C11+C12)/2</f>
        <v>168</v>
      </c>
      <c r="H11" s="172">
        <f>(D11+D12)/2</f>
        <v>248.5</v>
      </c>
      <c r="I11" s="172">
        <f>(E11+E12)/2</f>
        <v>213</v>
      </c>
      <c r="J11" s="173">
        <f>F11/(2000*0.82)</f>
        <v>0.12164634146341463</v>
      </c>
      <c r="K11" s="173">
        <f>G11/(2000*0.33)</f>
        <v>0.2545454545454545</v>
      </c>
      <c r="L11" s="173">
        <f>AVERAGE(J11:K11)</f>
        <v>0.18809589800443458</v>
      </c>
      <c r="M11" s="173">
        <f>AVERAGE(K11:L11)</f>
        <v>0.22132067627494456</v>
      </c>
      <c r="N11" s="173">
        <f>AVERAGE(L11:M11)</f>
        <v>0.20470828713968958</v>
      </c>
      <c r="O11" s="173">
        <f>AVERAGE(M11:N11)</f>
        <v>0.21301448170731707</v>
      </c>
      <c r="AA11" s="14" t="s">
        <v>332</v>
      </c>
      <c r="AB11" s="175">
        <v>0.08</v>
      </c>
      <c r="AC11" s="176">
        <v>1</v>
      </c>
      <c r="AD11" s="32">
        <v>0.01</v>
      </c>
      <c r="AE11" s="32">
        <v>0.01</v>
      </c>
      <c r="AF11" s="33">
        <v>5</v>
      </c>
    </row>
    <row r="12" spans="1:32" ht="12.75">
      <c r="A12" s="120" t="s">
        <v>274</v>
      </c>
      <c r="B12" s="172">
        <v>191</v>
      </c>
      <c r="C12" s="172">
        <v>170</v>
      </c>
      <c r="D12" s="172">
        <v>246</v>
      </c>
      <c r="E12" s="172">
        <v>204</v>
      </c>
      <c r="F12" s="172"/>
      <c r="G12" s="172"/>
      <c r="H12" s="172"/>
      <c r="I12" s="172"/>
      <c r="AA12" s="14" t="s">
        <v>333</v>
      </c>
      <c r="AB12" s="175">
        <v>0.07</v>
      </c>
      <c r="AC12" s="176">
        <v>1</v>
      </c>
      <c r="AD12" s="173">
        <v>0.003</v>
      </c>
      <c r="AE12" s="173">
        <v>0.003</v>
      </c>
      <c r="AF12" s="33">
        <v>1</v>
      </c>
    </row>
    <row r="13" spans="1:32" ht="12.75">
      <c r="A13" s="120" t="s">
        <v>275</v>
      </c>
      <c r="B13" s="172">
        <v>224</v>
      </c>
      <c r="C13" s="172">
        <v>189</v>
      </c>
      <c r="D13" s="172">
        <v>256</v>
      </c>
      <c r="E13" s="172">
        <v>229</v>
      </c>
      <c r="F13" s="172">
        <f>(B13+B14)/2</f>
        <v>202</v>
      </c>
      <c r="G13" s="172">
        <f>(C13+C14)/2</f>
        <v>184.5</v>
      </c>
      <c r="H13" s="172">
        <f>(D13+D14)/2</f>
        <v>237</v>
      </c>
      <c r="I13" s="172">
        <f>(E13+E14)/2</f>
        <v>216.5</v>
      </c>
      <c r="J13" s="173">
        <f>F13/(2000*0.82)</f>
        <v>0.12317073170731707</v>
      </c>
      <c r="K13" s="173">
        <f>G13/(2000*0.33)</f>
        <v>0.27954545454545454</v>
      </c>
      <c r="L13" s="173">
        <f>AVERAGE(J13:K13)</f>
        <v>0.2013580931263858</v>
      </c>
      <c r="M13" s="173">
        <f>AVERAGE(K13:L13)</f>
        <v>0.24045177383592017</v>
      </c>
      <c r="N13" s="173">
        <f>AVERAGE(L13:M13)</f>
        <v>0.22090493348115298</v>
      </c>
      <c r="O13" s="173">
        <f>AVERAGE(M13:N13)</f>
        <v>0.23067835365853656</v>
      </c>
      <c r="AF13" s="33"/>
    </row>
    <row r="14" spans="1:32" ht="12.75">
      <c r="A14" s="120" t="s">
        <v>276</v>
      </c>
      <c r="B14" s="172">
        <v>180</v>
      </c>
      <c r="C14" s="172">
        <v>180</v>
      </c>
      <c r="D14" s="172">
        <v>218</v>
      </c>
      <c r="E14" s="172">
        <v>204</v>
      </c>
      <c r="F14" s="172"/>
      <c r="G14" s="172"/>
      <c r="H14" s="172"/>
      <c r="I14" s="172"/>
      <c r="AA14" s="174" t="s">
        <v>334</v>
      </c>
      <c r="AF14" s="33"/>
    </row>
    <row r="15" spans="1:32" ht="12.75">
      <c r="A15" s="120" t="s">
        <v>277</v>
      </c>
      <c r="B15" s="172">
        <v>199</v>
      </c>
      <c r="C15" s="172">
        <v>180</v>
      </c>
      <c r="D15" s="172">
        <v>219</v>
      </c>
      <c r="E15" s="172">
        <v>201</v>
      </c>
      <c r="F15" s="172">
        <f>(B15+B16)/2</f>
        <v>195</v>
      </c>
      <c r="G15" s="172">
        <f>(C15+C16)/2</f>
        <v>180.5</v>
      </c>
      <c r="H15" s="172">
        <f>(D15+D16)/2</f>
        <v>223.5</v>
      </c>
      <c r="I15" s="172">
        <f>(E15+E16)/2</f>
        <v>203</v>
      </c>
      <c r="J15" s="173">
        <f>F15/(2000*0.82)</f>
        <v>0.11890243902439024</v>
      </c>
      <c r="K15" s="173">
        <f>G15/(2000*0.33)</f>
        <v>0.2734848484848485</v>
      </c>
      <c r="L15" s="173">
        <f>AVERAGE(J15:K15)</f>
        <v>0.19619364375461937</v>
      </c>
      <c r="M15" s="173">
        <f>AVERAGE(K15:L15)</f>
        <v>0.23483924611973395</v>
      </c>
      <c r="N15" s="173">
        <f>AVERAGE(L15:M15)</f>
        <v>0.21551644493717664</v>
      </c>
      <c r="O15" s="173">
        <f>AVERAGE(M15:N15)</f>
        <v>0.2251778455284553</v>
      </c>
      <c r="AA15" s="14" t="s">
        <v>335</v>
      </c>
      <c r="AB15" s="175">
        <v>0.15</v>
      </c>
      <c r="AC15" s="176">
        <v>1</v>
      </c>
      <c r="AD15" s="32">
        <v>0.19</v>
      </c>
      <c r="AE15" s="32">
        <v>0.19</v>
      </c>
      <c r="AF15" s="33">
        <v>136</v>
      </c>
    </row>
    <row r="16" spans="1:32" ht="12.75">
      <c r="A16" s="120" t="s">
        <v>278</v>
      </c>
      <c r="B16" s="172">
        <v>191</v>
      </c>
      <c r="C16" s="172">
        <v>181</v>
      </c>
      <c r="D16" s="172">
        <v>228</v>
      </c>
      <c r="E16" s="172">
        <v>205</v>
      </c>
      <c r="F16" s="172"/>
      <c r="G16" s="172"/>
      <c r="H16" s="172"/>
      <c r="I16" s="172"/>
      <c r="AA16" s="14" t="s">
        <v>336</v>
      </c>
      <c r="AB16" s="175">
        <v>0.12</v>
      </c>
      <c r="AC16" s="176">
        <v>1</v>
      </c>
      <c r="AD16" s="32">
        <v>0.42</v>
      </c>
      <c r="AE16" s="32">
        <v>0.43</v>
      </c>
      <c r="AF16" s="33">
        <v>254</v>
      </c>
    </row>
    <row r="17" spans="1:15" ht="12.75">
      <c r="A17" s="120" t="s">
        <v>279</v>
      </c>
      <c r="B17" s="172">
        <v>210</v>
      </c>
      <c r="C17" s="172">
        <v>184</v>
      </c>
      <c r="D17" s="172">
        <v>235</v>
      </c>
      <c r="E17" s="172">
        <v>217</v>
      </c>
      <c r="F17" s="172">
        <f>(B17+B18)/2</f>
        <v>199</v>
      </c>
      <c r="G17" s="172">
        <f>(C17+C18)/2</f>
        <v>184</v>
      </c>
      <c r="H17" s="172">
        <f>(D17+D18)/2</f>
        <v>231.5</v>
      </c>
      <c r="I17" s="172">
        <f>(E17+E18)/2</f>
        <v>214</v>
      </c>
      <c r="J17" s="173">
        <f>F17/(2000*0.82)</f>
        <v>0.12134146341463414</v>
      </c>
      <c r="K17" s="173">
        <f>G17/(2000*0.33)</f>
        <v>0.2787878787878788</v>
      </c>
      <c r="L17" s="173">
        <f>AVERAGE(J17:K17)</f>
        <v>0.20006467110125647</v>
      </c>
      <c r="M17" s="173">
        <f>AVERAGE(K17:L17)</f>
        <v>0.23942627494456764</v>
      </c>
      <c r="N17" s="173">
        <f>AVERAGE(L17:M17)</f>
        <v>0.21974547302291206</v>
      </c>
      <c r="O17" s="173">
        <f>AVERAGE(M17:N17)</f>
        <v>0.22958587398373986</v>
      </c>
    </row>
    <row r="18" spans="1:27" ht="12.75">
      <c r="A18" s="120" t="s">
        <v>280</v>
      </c>
      <c r="B18" s="172">
        <v>188</v>
      </c>
      <c r="C18" s="172">
        <v>184</v>
      </c>
      <c r="D18" s="172">
        <v>228</v>
      </c>
      <c r="E18" s="172">
        <v>211</v>
      </c>
      <c r="F18" s="172"/>
      <c r="G18" s="172"/>
      <c r="H18" s="172"/>
      <c r="I18" s="172"/>
      <c r="AA18" s="14" t="s">
        <v>339</v>
      </c>
    </row>
    <row r="19" spans="1:15" ht="12.75">
      <c r="A19" s="120" t="s">
        <v>281</v>
      </c>
      <c r="B19" s="172">
        <v>208</v>
      </c>
      <c r="C19" s="172">
        <v>178</v>
      </c>
      <c r="D19" s="172">
        <v>224</v>
      </c>
      <c r="E19" s="172">
        <v>206</v>
      </c>
      <c r="F19" s="172">
        <f>(B19+B20)/2</f>
        <v>203.5</v>
      </c>
      <c r="G19" s="172">
        <f>(C19+C20)/2</f>
        <v>178</v>
      </c>
      <c r="H19" s="172">
        <f>(D19+D20)/2</f>
        <v>216</v>
      </c>
      <c r="I19" s="172">
        <f>(E19+E20)/2</f>
        <v>200</v>
      </c>
      <c r="J19" s="173">
        <f>F19/(2000*0.82)</f>
        <v>0.12408536585365854</v>
      </c>
      <c r="K19" s="173">
        <f>G19/(2000*0.33)</f>
        <v>0.2696969696969697</v>
      </c>
      <c r="L19" s="173">
        <f>AVERAGE(J19:K19)</f>
        <v>0.19689116777531412</v>
      </c>
      <c r="M19" s="173">
        <f>AVERAGE(K19:L19)</f>
        <v>0.23329406873614192</v>
      </c>
      <c r="N19" s="173">
        <f>AVERAGE(L19:M19)</f>
        <v>0.215092618255728</v>
      </c>
      <c r="O19" s="173">
        <f>AVERAGE(M19:N19)</f>
        <v>0.22419334349593495</v>
      </c>
    </row>
    <row r="20" spans="1:27" ht="12.75">
      <c r="A20" s="120" t="s">
        <v>282</v>
      </c>
      <c r="B20" s="172">
        <v>199</v>
      </c>
      <c r="C20" s="172">
        <v>178</v>
      </c>
      <c r="D20" s="172">
        <v>208</v>
      </c>
      <c r="E20" s="172">
        <v>194</v>
      </c>
      <c r="F20" s="172"/>
      <c r="G20" s="172"/>
      <c r="H20" s="172"/>
      <c r="I20" s="172"/>
      <c r="AA20" s="174" t="s">
        <v>257</v>
      </c>
    </row>
    <row r="21" spans="1:27" ht="12.75">
      <c r="A21" s="120" t="s">
        <v>283</v>
      </c>
      <c r="B21" s="172">
        <v>213</v>
      </c>
      <c r="C21" s="172">
        <v>186</v>
      </c>
      <c r="D21" s="172">
        <v>199</v>
      </c>
      <c r="E21" s="172">
        <v>190</v>
      </c>
      <c r="F21" s="172">
        <v>213</v>
      </c>
      <c r="G21" s="172">
        <v>186</v>
      </c>
      <c r="H21" s="172">
        <v>199</v>
      </c>
      <c r="I21" s="172">
        <v>190</v>
      </c>
      <c r="J21" s="173">
        <f>F21/(2000*0.82)</f>
        <v>0.1298780487804878</v>
      </c>
      <c r="K21" s="173">
        <f>G21/(2000*0.33)</f>
        <v>0.2818181818181818</v>
      </c>
      <c r="L21" s="173">
        <f>AVERAGE(J21:K21)</f>
        <v>0.2058481152993348</v>
      </c>
      <c r="M21" s="173">
        <f>AVERAGE(K21:L21)</f>
        <v>0.24383314855875832</v>
      </c>
      <c r="N21" s="173">
        <f>AVERAGE(L21:M21)</f>
        <v>0.22484063192904657</v>
      </c>
      <c r="O21" s="173">
        <f>AVERAGE(M21:N21)</f>
        <v>0.23433689024390245</v>
      </c>
      <c r="AA21" s="14" t="s">
        <v>258</v>
      </c>
    </row>
    <row r="22" spans="1:9" ht="12.75">
      <c r="A22" s="120" t="s">
        <v>0</v>
      </c>
      <c r="B22" s="172"/>
      <c r="C22" s="172"/>
      <c r="D22" s="172"/>
      <c r="E22" s="172"/>
      <c r="F22" s="172"/>
      <c r="G22" s="172"/>
      <c r="H22" s="172"/>
      <c r="I22" s="172"/>
    </row>
    <row r="23" spans="1:15" ht="12.75">
      <c r="A23" s="177">
        <v>1994</v>
      </c>
      <c r="B23" s="172">
        <v>243</v>
      </c>
      <c r="C23" s="172">
        <v>196</v>
      </c>
      <c r="D23" s="172">
        <v>224</v>
      </c>
      <c r="E23" s="172">
        <v>212</v>
      </c>
      <c r="F23" s="172">
        <v>243</v>
      </c>
      <c r="G23" s="172">
        <v>196</v>
      </c>
      <c r="H23" s="172">
        <v>224</v>
      </c>
      <c r="I23" s="172">
        <v>212</v>
      </c>
      <c r="J23" s="173">
        <f>F23/(2000*0.82)</f>
        <v>0.14817073170731707</v>
      </c>
      <c r="K23" s="173">
        <f>G23/(2000*0.33)</f>
        <v>0.296969696969697</v>
      </c>
      <c r="L23" s="173">
        <f>AVERAGE(J23:K23)</f>
        <v>0.22257021433850704</v>
      </c>
      <c r="M23" s="173">
        <f>AVERAGE(K23:L23)</f>
        <v>0.259769955654102</v>
      </c>
      <c r="N23" s="173">
        <f>AVERAGE(L23:M23)</f>
        <v>0.24117008499630452</v>
      </c>
      <c r="O23" s="173">
        <f>AVERAGE(M23:N23)</f>
        <v>0.25047002032520327</v>
      </c>
    </row>
    <row r="24" spans="1:9" ht="12.75">
      <c r="A24" s="177" t="s">
        <v>0</v>
      </c>
      <c r="B24" s="172"/>
      <c r="C24" s="172"/>
      <c r="D24" s="172"/>
      <c r="E24" s="172"/>
      <c r="F24" s="172"/>
      <c r="G24" s="172"/>
      <c r="H24" s="172"/>
      <c r="I24" s="172"/>
    </row>
    <row r="25" spans="1:15" ht="12.75">
      <c r="A25" s="177">
        <v>1995</v>
      </c>
      <c r="B25" s="172">
        <v>330</v>
      </c>
      <c r="C25" s="172">
        <v>223</v>
      </c>
      <c r="D25" s="172">
        <v>263</v>
      </c>
      <c r="E25" s="172">
        <v>234</v>
      </c>
      <c r="F25" s="172">
        <v>330</v>
      </c>
      <c r="G25" s="172">
        <v>223</v>
      </c>
      <c r="H25" s="172">
        <v>263</v>
      </c>
      <c r="I25" s="172">
        <v>234</v>
      </c>
      <c r="J25" s="173">
        <f>F25/(2000*0.82)</f>
        <v>0.20121951219512196</v>
      </c>
      <c r="K25" s="173">
        <f>G25/(2000*0.33)</f>
        <v>0.3378787878787879</v>
      </c>
      <c r="L25" s="173">
        <f>AVERAGE(J25:K25)</f>
        <v>0.2695491500369549</v>
      </c>
      <c r="M25" s="173">
        <f>AVERAGE(K25:L25)</f>
        <v>0.3037139689578714</v>
      </c>
      <c r="N25" s="173">
        <f>AVERAGE(L25:M25)</f>
        <v>0.28663155949741315</v>
      </c>
      <c r="O25" s="173">
        <f>AVERAGE(M25:N25)</f>
        <v>0.29517276422764227</v>
      </c>
    </row>
    <row r="26" spans="1:9" ht="12.75">
      <c r="A26" s="177" t="s">
        <v>0</v>
      </c>
      <c r="B26" s="172"/>
      <c r="C26" s="172"/>
      <c r="D26" s="172"/>
      <c r="E26" s="172"/>
      <c r="F26" s="172"/>
      <c r="G26" s="172"/>
      <c r="H26" s="172"/>
      <c r="I26" s="172"/>
    </row>
    <row r="27" spans="1:15" ht="12.75">
      <c r="A27" s="177">
        <v>1996</v>
      </c>
      <c r="B27" s="172">
        <v>303</v>
      </c>
      <c r="C27" s="172">
        <v>233</v>
      </c>
      <c r="D27" s="172">
        <v>294</v>
      </c>
      <c r="E27" s="172">
        <v>258</v>
      </c>
      <c r="F27" s="172">
        <v>303</v>
      </c>
      <c r="G27" s="172">
        <v>233</v>
      </c>
      <c r="H27" s="172">
        <v>294</v>
      </c>
      <c r="I27" s="172">
        <v>258</v>
      </c>
      <c r="J27" s="173">
        <f>F27/(2000*0.82)</f>
        <v>0.1847560975609756</v>
      </c>
      <c r="K27" s="173">
        <f>G27/(2000*0.33)</f>
        <v>0.353030303030303</v>
      </c>
      <c r="L27" s="173">
        <f>AVERAGE(J27:K27)</f>
        <v>0.26889320029563935</v>
      </c>
      <c r="M27" s="173">
        <f>AVERAGE(K27:L27)</f>
        <v>0.3109617516629712</v>
      </c>
      <c r="N27" s="173">
        <f>AVERAGE(L27:M27)</f>
        <v>0.28992747597930524</v>
      </c>
      <c r="O27" s="173">
        <f>AVERAGE(M27:N27)</f>
        <v>0.3004446138211382</v>
      </c>
    </row>
    <row r="28" spans="1:9" ht="12.75">
      <c r="A28" s="33" t="s">
        <v>0</v>
      </c>
      <c r="B28" s="172" t="s">
        <v>0</v>
      </c>
      <c r="C28" s="172" t="s">
        <v>0</v>
      </c>
      <c r="D28" s="172" t="s">
        <v>0</v>
      </c>
      <c r="E28" s="172" t="s">
        <v>0</v>
      </c>
      <c r="F28" s="172"/>
      <c r="G28" s="172"/>
      <c r="H28" s="172"/>
      <c r="I28" s="172" t="s">
        <v>0</v>
      </c>
    </row>
    <row r="29" spans="1:15" ht="12.75">
      <c r="A29" s="33">
        <v>1997</v>
      </c>
      <c r="B29" s="172">
        <v>303</v>
      </c>
      <c r="C29" s="172">
        <v>227</v>
      </c>
      <c r="D29" s="172">
        <v>272</v>
      </c>
      <c r="E29" s="172">
        <v>257</v>
      </c>
      <c r="F29" s="172">
        <v>303</v>
      </c>
      <c r="G29" s="172">
        <v>227</v>
      </c>
      <c r="H29" s="172">
        <v>257</v>
      </c>
      <c r="I29" s="172">
        <v>303</v>
      </c>
      <c r="J29" s="173">
        <f>F29/(2000*0.82)</f>
        <v>0.1847560975609756</v>
      </c>
      <c r="K29" s="173">
        <f>G29/(2000*0.33)</f>
        <v>0.34393939393939393</v>
      </c>
      <c r="L29" s="173">
        <f>AVERAGE(J29:K29)</f>
        <v>0.26434774575018477</v>
      </c>
      <c r="M29" s="173">
        <f>AVERAGE(K29:L29)</f>
        <v>0.30414356984478935</v>
      </c>
      <c r="N29" s="173">
        <f>AVERAGE(L29:M29)</f>
        <v>0.28424565779748706</v>
      </c>
      <c r="O29" s="173">
        <f>AVERAGE(M29:N29)</f>
        <v>0.2941946138211382</v>
      </c>
    </row>
    <row r="31" spans="1:15" ht="12.75">
      <c r="A31" s="14" t="s">
        <v>346</v>
      </c>
      <c r="F31" s="178">
        <f>AVERAGE(F9:F29)</f>
        <v>234.04545454545453</v>
      </c>
      <c r="J31" s="14">
        <f aca="true" t="shared" si="0" ref="J31:O31">AVERAGE(J9:J29)</f>
        <v>0.14271064301552105</v>
      </c>
      <c r="K31" s="14">
        <f t="shared" si="0"/>
        <v>0.2913911845730027</v>
      </c>
      <c r="L31" s="14">
        <f t="shared" si="0"/>
        <v>0.2170509137942619</v>
      </c>
      <c r="M31" s="14">
        <f t="shared" si="0"/>
        <v>0.25422104918363236</v>
      </c>
      <c r="N31" s="14">
        <f t="shared" si="0"/>
        <v>0.2356359814889471</v>
      </c>
      <c r="O31" s="14">
        <f t="shared" si="0"/>
        <v>0.24492851533628973</v>
      </c>
    </row>
    <row r="32" spans="1:15" ht="12.75">
      <c r="A32" s="14" t="s">
        <v>347</v>
      </c>
      <c r="F32" s="178">
        <f>AVERAGE(F19:F29)</f>
        <v>265.9166666666667</v>
      </c>
      <c r="J32" s="14">
        <f aca="true" t="shared" si="1" ref="J32:O32">AVERAGE(J19:J29)</f>
        <v>0.16214430894308943</v>
      </c>
      <c r="K32" s="14">
        <f t="shared" si="1"/>
        <v>0.31388888888888894</v>
      </c>
      <c r="L32" s="14">
        <f t="shared" si="1"/>
        <v>0.23801659891598914</v>
      </c>
      <c r="M32" s="14">
        <f t="shared" si="1"/>
        <v>0.275952743902439</v>
      </c>
      <c r="N32" s="14">
        <f t="shared" si="1"/>
        <v>0.2569846714092141</v>
      </c>
      <c r="O32" s="14">
        <f t="shared" si="1"/>
        <v>0.2664687076558266</v>
      </c>
    </row>
    <row r="33" spans="1:15" ht="12.75">
      <c r="A33" s="14" t="s">
        <v>348</v>
      </c>
      <c r="F33" s="178">
        <f>MIN(F20:F29)</f>
        <v>213</v>
      </c>
      <c r="J33" s="14">
        <f aca="true" t="shared" si="2" ref="J33:O33">MIN(J20:J29)</f>
        <v>0.1298780487804878</v>
      </c>
      <c r="K33" s="14">
        <f t="shared" si="2"/>
        <v>0.2818181818181818</v>
      </c>
      <c r="L33" s="14">
        <f t="shared" si="2"/>
        <v>0.2058481152993348</v>
      </c>
      <c r="M33" s="14">
        <f t="shared" si="2"/>
        <v>0.24383314855875832</v>
      </c>
      <c r="N33" s="14">
        <f t="shared" si="2"/>
        <v>0.22484063192904657</v>
      </c>
      <c r="O33" s="14">
        <f t="shared" si="2"/>
        <v>0.23433689024390245</v>
      </c>
    </row>
    <row r="34" spans="1:15" ht="12.75">
      <c r="A34" s="14" t="s">
        <v>349</v>
      </c>
      <c r="F34" s="178">
        <f>MAX(F21:F29)</f>
        <v>330</v>
      </c>
      <c r="J34" s="14">
        <f aca="true" t="shared" si="3" ref="J34:O34">MAX(J21:J29)</f>
        <v>0.20121951219512196</v>
      </c>
      <c r="K34" s="14">
        <f t="shared" si="3"/>
        <v>0.353030303030303</v>
      </c>
      <c r="L34" s="14">
        <f t="shared" si="3"/>
        <v>0.2695491500369549</v>
      </c>
      <c r="M34" s="14">
        <f t="shared" si="3"/>
        <v>0.3109617516629712</v>
      </c>
      <c r="N34" s="14">
        <f t="shared" si="3"/>
        <v>0.28992747597930524</v>
      </c>
      <c r="O34" s="14">
        <f t="shared" si="3"/>
        <v>0.3004446138211382</v>
      </c>
    </row>
    <row r="36" spans="12:15" ht="12.75">
      <c r="L36" s="14">
        <f>AVERAGE(L11:L29)</f>
        <v>0.2213811899482631</v>
      </c>
      <c r="M36" s="14">
        <f>AVERAGE(M11:M29)</f>
        <v>0.25917544345898</v>
      </c>
      <c r="N36" s="14">
        <f>AVERAGE(N11:N29)</f>
        <v>0.2402783167036216</v>
      </c>
      <c r="O36" s="14">
        <f>AVERAGE(O11:O29)</f>
        <v>0.24972688008130078</v>
      </c>
    </row>
    <row r="40" ht="12.75">
      <c r="B40" s="159"/>
    </row>
    <row r="42" spans="1:30" ht="12.75">
      <c r="A42" s="179" t="s">
        <v>180</v>
      </c>
      <c r="B42" s="179"/>
      <c r="C42" s="179"/>
      <c r="D42" s="179"/>
      <c r="E42" s="179"/>
      <c r="F42" s="179"/>
      <c r="G42" s="179"/>
      <c r="H42" s="179"/>
      <c r="I42" s="179"/>
      <c r="J42" s="179"/>
      <c r="L42" s="179"/>
      <c r="M42" s="179"/>
      <c r="N42" s="179"/>
      <c r="O42" s="179"/>
      <c r="P42" s="179" t="s">
        <v>181</v>
      </c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</row>
    <row r="43" spans="1:30" ht="13.5" thickBot="1">
      <c r="A43" s="180" t="s">
        <v>182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</row>
    <row r="44" spans="1:30" ht="13.5" thickBot="1">
      <c r="A44" s="181" t="s">
        <v>183</v>
      </c>
      <c r="B44" s="182" t="s">
        <v>184</v>
      </c>
      <c r="C44" s="183" t="s">
        <v>185</v>
      </c>
      <c r="D44" s="183" t="s">
        <v>186</v>
      </c>
      <c r="E44" s="183" t="s">
        <v>187</v>
      </c>
      <c r="F44" s="183" t="s">
        <v>188</v>
      </c>
      <c r="G44" s="183" t="s">
        <v>189</v>
      </c>
      <c r="H44" s="183" t="s">
        <v>190</v>
      </c>
      <c r="I44" s="183" t="s">
        <v>191</v>
      </c>
      <c r="J44" s="183" t="s">
        <v>192</v>
      </c>
      <c r="K44" s="183" t="s">
        <v>193</v>
      </c>
      <c r="L44" s="183" t="s">
        <v>194</v>
      </c>
      <c r="M44" s="183" t="s">
        <v>195</v>
      </c>
      <c r="N44" s="183" t="s">
        <v>196</v>
      </c>
      <c r="O44" s="183" t="s">
        <v>197</v>
      </c>
      <c r="P44" s="183" t="s">
        <v>198</v>
      </c>
      <c r="Q44" s="184">
        <v>1978</v>
      </c>
      <c r="R44" s="184">
        <v>1979</v>
      </c>
      <c r="S44" s="184">
        <v>1980</v>
      </c>
      <c r="T44" s="184">
        <v>1981</v>
      </c>
      <c r="U44" s="184">
        <v>1982</v>
      </c>
      <c r="V44" s="184">
        <v>1983</v>
      </c>
      <c r="W44" s="184">
        <v>1984</v>
      </c>
      <c r="X44" s="184">
        <v>1985</v>
      </c>
      <c r="Y44" s="184">
        <v>1986</v>
      </c>
      <c r="Z44" s="184">
        <v>1987</v>
      </c>
      <c r="AA44" s="184">
        <v>1988</v>
      </c>
      <c r="AB44" s="184">
        <v>1989</v>
      </c>
      <c r="AC44" s="184">
        <v>1990</v>
      </c>
      <c r="AD44" s="184">
        <v>1991</v>
      </c>
    </row>
    <row r="45" spans="1:30" ht="12.75">
      <c r="A45" s="185" t="s">
        <v>199</v>
      </c>
      <c r="B45" s="185" t="s">
        <v>184</v>
      </c>
      <c r="C45" s="186">
        <v>0.58</v>
      </c>
      <c r="D45" s="186">
        <v>0.61</v>
      </c>
      <c r="E45" s="186">
        <v>0.61</v>
      </c>
      <c r="F45" s="186">
        <v>0.53</v>
      </c>
      <c r="G45" s="186">
        <v>0.6</v>
      </c>
      <c r="H45" s="186">
        <v>0.57</v>
      </c>
      <c r="I45" s="186">
        <v>0.7</v>
      </c>
      <c r="J45" s="186">
        <v>0.7</v>
      </c>
      <c r="K45" s="186">
        <v>0.63</v>
      </c>
      <c r="L45" s="186">
        <v>0.65</v>
      </c>
      <c r="M45" s="186">
        <v>0.65</v>
      </c>
      <c r="N45" s="186">
        <v>0.66</v>
      </c>
      <c r="O45" s="186">
        <v>0.82</v>
      </c>
      <c r="P45" s="186">
        <v>0.73</v>
      </c>
      <c r="Q45" s="186">
        <v>0.62</v>
      </c>
      <c r="R45" s="186">
        <v>0.8</v>
      </c>
      <c r="S45" s="186">
        <v>0.89</v>
      </c>
      <c r="T45" s="186">
        <v>0.85</v>
      </c>
      <c r="U45" s="186">
        <v>0.81</v>
      </c>
      <c r="V45" s="186">
        <v>0.7</v>
      </c>
      <c r="W45" s="186">
        <v>0.81</v>
      </c>
      <c r="X45" s="186">
        <v>0.83</v>
      </c>
      <c r="Y45" s="186">
        <v>0.81</v>
      </c>
      <c r="Z45" s="186">
        <v>0.89</v>
      </c>
      <c r="AA45" s="186">
        <v>0.86</v>
      </c>
      <c r="AB45" s="186">
        <v>0.95</v>
      </c>
      <c r="AC45" s="186">
        <v>0.91</v>
      </c>
      <c r="AD45" s="186">
        <v>0.92</v>
      </c>
    </row>
    <row r="46" spans="1:30" ht="13.5" thickBot="1">
      <c r="A46" s="187" t="s">
        <v>165</v>
      </c>
      <c r="B46" s="187" t="s">
        <v>184</v>
      </c>
      <c r="C46" s="188">
        <v>0.5</v>
      </c>
      <c r="D46" s="188">
        <v>0.52</v>
      </c>
      <c r="E46" s="188">
        <v>0.54</v>
      </c>
      <c r="F46" s="188">
        <v>0.58</v>
      </c>
      <c r="G46" s="188">
        <v>0.6</v>
      </c>
      <c r="H46" s="188">
        <v>0.59</v>
      </c>
      <c r="I46" s="188">
        <v>0.63</v>
      </c>
      <c r="J46" s="188">
        <v>0.58</v>
      </c>
      <c r="K46" s="188">
        <v>0.63</v>
      </c>
      <c r="L46" s="188">
        <v>0.64</v>
      </c>
      <c r="M46" s="188">
        <v>0.66</v>
      </c>
      <c r="N46" s="188">
        <v>0.63</v>
      </c>
      <c r="O46" s="188">
        <v>0.71</v>
      </c>
      <c r="P46" s="188">
        <v>0.65</v>
      </c>
      <c r="Q46" s="188">
        <v>0.61</v>
      </c>
      <c r="R46" s="188">
        <v>0.66</v>
      </c>
      <c r="S46" s="188">
        <v>0.67</v>
      </c>
      <c r="T46" s="188">
        <v>0.7</v>
      </c>
      <c r="U46" s="188">
        <v>0.7</v>
      </c>
      <c r="V46" s="188">
        <v>0.73</v>
      </c>
      <c r="W46" s="188">
        <v>0.76</v>
      </c>
      <c r="X46" s="188">
        <v>0.77</v>
      </c>
      <c r="Y46" s="188">
        <v>0.79</v>
      </c>
      <c r="Z46" s="188">
        <v>0.8</v>
      </c>
      <c r="AA46" s="188">
        <v>0.83</v>
      </c>
      <c r="AB46" s="188">
        <v>0.81</v>
      </c>
      <c r="AC46" s="188">
        <v>0.79</v>
      </c>
      <c r="AD46" s="188">
        <v>0.8</v>
      </c>
    </row>
    <row r="47" spans="1:30" ht="12.75">
      <c r="A47" s="185" t="s">
        <v>200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</row>
    <row r="48" spans="1:30" ht="12.75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</row>
    <row r="49" spans="1:30" ht="13.5" thickBot="1">
      <c r="A49" s="180" t="s">
        <v>201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</row>
    <row r="50" spans="1:30" ht="13.5" thickBot="1">
      <c r="A50" s="181" t="s">
        <v>183</v>
      </c>
      <c r="B50" s="182" t="s">
        <v>184</v>
      </c>
      <c r="C50" s="183" t="s">
        <v>185</v>
      </c>
      <c r="D50" s="183" t="s">
        <v>186</v>
      </c>
      <c r="E50" s="183" t="s">
        <v>187</v>
      </c>
      <c r="F50" s="183" t="s">
        <v>188</v>
      </c>
      <c r="G50" s="183" t="s">
        <v>189</v>
      </c>
      <c r="H50" s="183" t="s">
        <v>190</v>
      </c>
      <c r="I50" s="183" t="s">
        <v>191</v>
      </c>
      <c r="J50" s="183" t="s">
        <v>192</v>
      </c>
      <c r="K50" s="183" t="s">
        <v>193</v>
      </c>
      <c r="L50" s="183" t="s">
        <v>194</v>
      </c>
      <c r="M50" s="183" t="s">
        <v>195</v>
      </c>
      <c r="N50" s="183" t="s">
        <v>196</v>
      </c>
      <c r="O50" s="183" t="s">
        <v>197</v>
      </c>
      <c r="P50" s="183" t="s">
        <v>198</v>
      </c>
      <c r="Q50" s="184">
        <v>1978</v>
      </c>
      <c r="R50" s="184">
        <v>1979</v>
      </c>
      <c r="S50" s="184">
        <v>1980</v>
      </c>
      <c r="T50" s="184">
        <v>1981</v>
      </c>
      <c r="U50" s="184">
        <v>1982</v>
      </c>
      <c r="V50" s="184">
        <v>1983</v>
      </c>
      <c r="W50" s="184">
        <v>1984</v>
      </c>
      <c r="X50" s="184">
        <v>1985</v>
      </c>
      <c r="Y50" s="184">
        <v>1986</v>
      </c>
      <c r="Z50" s="184">
        <v>1987</v>
      </c>
      <c r="AA50" s="184">
        <v>1988</v>
      </c>
      <c r="AB50" s="184">
        <v>1989</v>
      </c>
      <c r="AC50" s="184">
        <v>1990</v>
      </c>
      <c r="AD50" s="184">
        <v>1991</v>
      </c>
    </row>
    <row r="51" spans="1:30" ht="12.75">
      <c r="A51" s="185" t="s">
        <v>199</v>
      </c>
      <c r="B51" s="185" t="s">
        <v>184</v>
      </c>
      <c r="C51" s="186">
        <v>0.58</v>
      </c>
      <c r="D51" s="186">
        <v>0.6</v>
      </c>
      <c r="E51" s="186">
        <v>0.6</v>
      </c>
      <c r="F51" s="186">
        <v>0.52</v>
      </c>
      <c r="G51" s="186">
        <v>0.58</v>
      </c>
      <c r="H51" s="186">
        <v>0.57</v>
      </c>
      <c r="I51" s="186">
        <v>0.7</v>
      </c>
      <c r="J51" s="186">
        <v>0.7</v>
      </c>
      <c r="K51" s="186">
        <v>0.63</v>
      </c>
      <c r="L51" s="186">
        <v>0.65</v>
      </c>
      <c r="M51" s="186">
        <v>0.65</v>
      </c>
      <c r="N51" s="186">
        <v>0.65</v>
      </c>
      <c r="O51" s="186">
        <v>0.82</v>
      </c>
      <c r="P51" s="186">
        <v>0.73</v>
      </c>
      <c r="Q51" s="186">
        <v>0.62</v>
      </c>
      <c r="R51" s="186">
        <v>0.79</v>
      </c>
      <c r="S51" s="186">
        <v>0.89</v>
      </c>
      <c r="T51" s="186">
        <v>0.84</v>
      </c>
      <c r="U51" s="186">
        <v>0.81</v>
      </c>
      <c r="V51" s="186">
        <v>0.7</v>
      </c>
      <c r="W51" s="186">
        <v>0.81</v>
      </c>
      <c r="X51" s="186">
        <v>0.83</v>
      </c>
      <c r="Y51" s="186">
        <v>0.81</v>
      </c>
      <c r="Z51" s="186">
        <v>0.89</v>
      </c>
      <c r="AA51" s="186">
        <v>0.86</v>
      </c>
      <c r="AB51" s="186">
        <v>0.95</v>
      </c>
      <c r="AC51" s="186">
        <v>0.91</v>
      </c>
      <c r="AD51" s="186">
        <v>0.92</v>
      </c>
    </row>
    <row r="52" spans="1:30" ht="12.75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</row>
    <row r="53" spans="1:30" ht="13.5" thickBot="1">
      <c r="A53" s="180" t="s">
        <v>202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</row>
    <row r="54" spans="1:30" ht="13.5" thickBot="1">
      <c r="A54" s="181" t="s">
        <v>183</v>
      </c>
      <c r="B54" s="182" t="s">
        <v>184</v>
      </c>
      <c r="C54" s="183" t="s">
        <v>185</v>
      </c>
      <c r="D54" s="183" t="s">
        <v>186</v>
      </c>
      <c r="E54" s="183" t="s">
        <v>187</v>
      </c>
      <c r="F54" s="183" t="s">
        <v>188</v>
      </c>
      <c r="G54" s="183" t="s">
        <v>189</v>
      </c>
      <c r="H54" s="183" t="s">
        <v>190</v>
      </c>
      <c r="I54" s="183" t="s">
        <v>191</v>
      </c>
      <c r="J54" s="183" t="s">
        <v>192</v>
      </c>
      <c r="K54" s="183" t="s">
        <v>193</v>
      </c>
      <c r="L54" s="183" t="s">
        <v>194</v>
      </c>
      <c r="M54" s="183" t="s">
        <v>195</v>
      </c>
      <c r="N54" s="183" t="s">
        <v>196</v>
      </c>
      <c r="O54" s="183" t="s">
        <v>197</v>
      </c>
      <c r="P54" s="183" t="s">
        <v>198</v>
      </c>
      <c r="Q54" s="184">
        <v>1978</v>
      </c>
      <c r="R54" s="184">
        <v>1979</v>
      </c>
      <c r="S54" s="184">
        <v>1980</v>
      </c>
      <c r="T54" s="184">
        <v>1981</v>
      </c>
      <c r="U54" s="184">
        <v>1982</v>
      </c>
      <c r="V54" s="184">
        <v>1983</v>
      </c>
      <c r="W54" s="184">
        <v>1984</v>
      </c>
      <c r="X54" s="184">
        <v>1985</v>
      </c>
      <c r="Y54" s="184">
        <v>1986</v>
      </c>
      <c r="Z54" s="184">
        <v>1987</v>
      </c>
      <c r="AA54" s="184">
        <v>1988</v>
      </c>
      <c r="AB54" s="184">
        <v>1989</v>
      </c>
      <c r="AC54" s="184">
        <v>1990</v>
      </c>
      <c r="AD54" s="184">
        <v>1991</v>
      </c>
    </row>
    <row r="55" spans="1:30" ht="12.75">
      <c r="A55" s="189" t="s">
        <v>342</v>
      </c>
      <c r="B55" s="185" t="s">
        <v>184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</row>
    <row r="56" spans="1:30" ht="13.5" thickBot="1">
      <c r="A56" s="187" t="s">
        <v>199</v>
      </c>
      <c r="B56" s="187" t="s">
        <v>184</v>
      </c>
      <c r="C56" s="190">
        <v>29</v>
      </c>
      <c r="D56" s="190">
        <v>31</v>
      </c>
      <c r="E56" s="190">
        <v>38</v>
      </c>
      <c r="F56" s="190">
        <v>33</v>
      </c>
      <c r="G56" s="190">
        <v>39</v>
      </c>
      <c r="H56" s="190">
        <v>41</v>
      </c>
      <c r="I56" s="190">
        <v>47</v>
      </c>
      <c r="J56" s="190">
        <v>49</v>
      </c>
      <c r="K56" s="190">
        <v>49</v>
      </c>
      <c r="L56" s="190">
        <v>61</v>
      </c>
      <c r="M56" s="190">
        <v>54</v>
      </c>
      <c r="N56" s="190">
        <v>45</v>
      </c>
      <c r="O56" s="190">
        <v>54</v>
      </c>
      <c r="P56" s="190">
        <v>57</v>
      </c>
      <c r="Q56" s="190">
        <v>58</v>
      </c>
      <c r="R56" s="190">
        <v>60</v>
      </c>
      <c r="S56" s="190">
        <v>65</v>
      </c>
      <c r="T56" s="190">
        <v>64</v>
      </c>
      <c r="U56" s="190">
        <v>63</v>
      </c>
      <c r="V56" s="190">
        <v>56</v>
      </c>
      <c r="W56" s="190">
        <v>65</v>
      </c>
      <c r="X56" s="190">
        <v>67</v>
      </c>
      <c r="Y56" s="190">
        <v>64</v>
      </c>
      <c r="Z56" s="190">
        <v>64</v>
      </c>
      <c r="AA56" s="190">
        <v>70</v>
      </c>
      <c r="AB56" s="190">
        <v>75</v>
      </c>
      <c r="AC56" s="190">
        <v>65</v>
      </c>
      <c r="AD56" s="190">
        <v>67</v>
      </c>
    </row>
    <row r="57" spans="1:30" ht="12.75">
      <c r="A57" s="185" t="s">
        <v>200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</row>
    <row r="58" spans="1:30" ht="12.75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</row>
    <row r="59" spans="1:30" ht="13.5" thickBot="1">
      <c r="A59" s="180" t="s">
        <v>203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</row>
    <row r="60" spans="1:30" ht="13.5" thickBot="1">
      <c r="A60" s="181" t="s">
        <v>183</v>
      </c>
      <c r="B60" s="182" t="s">
        <v>184</v>
      </c>
      <c r="C60" s="183" t="s">
        <v>185</v>
      </c>
      <c r="D60" s="183" t="s">
        <v>186</v>
      </c>
      <c r="E60" s="183" t="s">
        <v>187</v>
      </c>
      <c r="F60" s="183" t="s">
        <v>188</v>
      </c>
      <c r="G60" s="183" t="s">
        <v>189</v>
      </c>
      <c r="H60" s="183" t="s">
        <v>190</v>
      </c>
      <c r="I60" s="183" t="s">
        <v>191</v>
      </c>
      <c r="J60" s="183" t="s">
        <v>192</v>
      </c>
      <c r="K60" s="183" t="s">
        <v>193</v>
      </c>
      <c r="L60" s="183" t="s">
        <v>194</v>
      </c>
      <c r="M60" s="183" t="s">
        <v>195</v>
      </c>
      <c r="N60" s="183" t="s">
        <v>196</v>
      </c>
      <c r="O60" s="183" t="s">
        <v>197</v>
      </c>
      <c r="P60" s="183" t="s">
        <v>198</v>
      </c>
      <c r="Q60" s="184">
        <v>1978</v>
      </c>
      <c r="R60" s="184">
        <v>1979</v>
      </c>
      <c r="S60" s="184">
        <v>1980</v>
      </c>
      <c r="T60" s="184">
        <v>1981</v>
      </c>
      <c r="U60" s="184">
        <v>1982</v>
      </c>
      <c r="V60" s="184">
        <v>1983</v>
      </c>
      <c r="W60" s="184">
        <v>1984</v>
      </c>
      <c r="X60" s="184">
        <v>1985</v>
      </c>
      <c r="Y60" s="184">
        <v>1986</v>
      </c>
      <c r="Z60" s="184">
        <v>1987</v>
      </c>
      <c r="AA60" s="184">
        <v>1988</v>
      </c>
      <c r="AB60" s="184">
        <v>1989</v>
      </c>
      <c r="AC60" s="184">
        <v>1990</v>
      </c>
      <c r="AD60" s="184">
        <v>1991</v>
      </c>
    </row>
    <row r="61" spans="1:30" ht="12.75">
      <c r="A61" s="185" t="s">
        <v>199</v>
      </c>
      <c r="B61" s="185" t="s">
        <v>184</v>
      </c>
      <c r="C61" s="186">
        <v>0.46</v>
      </c>
      <c r="D61" s="186">
        <v>0.44</v>
      </c>
      <c r="E61" s="186">
        <v>0.36</v>
      </c>
      <c r="F61" s="186">
        <v>0.46</v>
      </c>
      <c r="G61" s="186">
        <v>0.34</v>
      </c>
      <c r="H61" s="186">
        <v>0.34</v>
      </c>
      <c r="I61" s="186">
        <v>0.41</v>
      </c>
      <c r="J61" s="186">
        <v>0.4</v>
      </c>
      <c r="K61" s="186">
        <v>0.4</v>
      </c>
      <c r="L61" s="186">
        <v>0.46</v>
      </c>
      <c r="M61" s="186">
        <v>0.39</v>
      </c>
      <c r="N61" s="186">
        <v>0.41</v>
      </c>
      <c r="O61" s="186">
        <v>0.54</v>
      </c>
      <c r="P61" s="186">
        <v>0.48</v>
      </c>
      <c r="Q61" s="186">
        <v>0.32</v>
      </c>
      <c r="R61" s="186">
        <v>0.48</v>
      </c>
      <c r="S61" s="186">
        <v>0.56</v>
      </c>
      <c r="T61" s="186">
        <v>0.53</v>
      </c>
      <c r="U61" s="186">
        <v>0.49</v>
      </c>
      <c r="V61" s="186">
        <v>0.36</v>
      </c>
      <c r="W61" s="186">
        <v>0.48</v>
      </c>
      <c r="X61" s="186">
        <v>0.53</v>
      </c>
      <c r="Y61" s="186">
        <v>0.43</v>
      </c>
      <c r="Z61" s="186">
        <v>0.47</v>
      </c>
      <c r="AA61" s="186">
        <v>0.44</v>
      </c>
      <c r="AB61" s="186">
        <v>0.59</v>
      </c>
      <c r="AC61" s="186">
        <v>0.62</v>
      </c>
      <c r="AD61" s="186">
        <v>0.45</v>
      </c>
    </row>
    <row r="62" spans="1:30" ht="12.75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</row>
    <row r="63" spans="1:30" ht="13.5" thickBot="1">
      <c r="A63" s="180" t="s">
        <v>204</v>
      </c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</row>
    <row r="64" spans="1:30" ht="13.5" thickBot="1">
      <c r="A64" s="181" t="s">
        <v>183</v>
      </c>
      <c r="B64" s="182" t="s">
        <v>184</v>
      </c>
      <c r="C64" s="183" t="s">
        <v>185</v>
      </c>
      <c r="D64" s="183" t="s">
        <v>186</v>
      </c>
      <c r="E64" s="183" t="s">
        <v>187</v>
      </c>
      <c r="F64" s="183" t="s">
        <v>188</v>
      </c>
      <c r="G64" s="183" t="s">
        <v>189</v>
      </c>
      <c r="H64" s="183" t="s">
        <v>190</v>
      </c>
      <c r="I64" s="183" t="s">
        <v>191</v>
      </c>
      <c r="J64" s="184">
        <v>1971</v>
      </c>
      <c r="K64" s="183" t="s">
        <v>193</v>
      </c>
      <c r="L64" s="183" t="s">
        <v>194</v>
      </c>
      <c r="M64" s="183" t="s">
        <v>195</v>
      </c>
      <c r="N64" s="183" t="s">
        <v>196</v>
      </c>
      <c r="O64" s="183" t="s">
        <v>197</v>
      </c>
      <c r="P64" s="183" t="s">
        <v>198</v>
      </c>
      <c r="Q64" s="184">
        <v>1978</v>
      </c>
      <c r="R64" s="184">
        <v>1979</v>
      </c>
      <c r="S64" s="184">
        <v>1980</v>
      </c>
      <c r="T64" s="184">
        <v>1981</v>
      </c>
      <c r="U64" s="184">
        <v>1982</v>
      </c>
      <c r="V64" s="184">
        <v>1983</v>
      </c>
      <c r="W64" s="184">
        <v>1984</v>
      </c>
      <c r="X64" s="184">
        <v>1985</v>
      </c>
      <c r="Y64" s="184">
        <v>1986</v>
      </c>
      <c r="Z64" s="184">
        <v>1987</v>
      </c>
      <c r="AA64" s="184">
        <v>1988</v>
      </c>
      <c r="AB64" s="184">
        <v>1989</v>
      </c>
      <c r="AC64" s="184">
        <v>1990</v>
      </c>
      <c r="AD64" s="184">
        <v>1991</v>
      </c>
    </row>
    <row r="65" spans="1:30" ht="12.75">
      <c r="A65" s="191" t="s">
        <v>342</v>
      </c>
      <c r="B65" s="185" t="s">
        <v>184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85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</row>
    <row r="66" spans="1:30" ht="12.75">
      <c r="A66" s="185" t="s">
        <v>199</v>
      </c>
      <c r="B66" s="185" t="s">
        <v>184</v>
      </c>
      <c r="C66" s="192">
        <v>26</v>
      </c>
      <c r="D66" s="192">
        <v>28</v>
      </c>
      <c r="E66" s="192">
        <v>30</v>
      </c>
      <c r="F66" s="192">
        <v>30</v>
      </c>
      <c r="G66" s="192">
        <v>31</v>
      </c>
      <c r="H66" s="192">
        <v>32</v>
      </c>
      <c r="I66" s="192">
        <v>32</v>
      </c>
      <c r="J66" s="192">
        <v>37</v>
      </c>
      <c r="K66" s="192">
        <v>36</v>
      </c>
      <c r="L66" s="192">
        <v>47</v>
      </c>
      <c r="M66" s="192">
        <v>38</v>
      </c>
      <c r="N66" s="192">
        <v>31</v>
      </c>
      <c r="O66" s="192">
        <v>34</v>
      </c>
      <c r="P66" s="192">
        <v>37</v>
      </c>
      <c r="Q66" s="192">
        <v>30</v>
      </c>
      <c r="R66" s="192">
        <v>35</v>
      </c>
      <c r="S66" s="192">
        <v>38</v>
      </c>
      <c r="T66" s="192">
        <v>40</v>
      </c>
      <c r="U66" s="192">
        <v>35</v>
      </c>
      <c r="V66" s="192">
        <v>36</v>
      </c>
      <c r="W66" s="192">
        <v>35</v>
      </c>
      <c r="X66" s="192">
        <v>33</v>
      </c>
      <c r="Y66" s="192">
        <v>37</v>
      </c>
      <c r="Z66" s="192">
        <v>35</v>
      </c>
      <c r="AA66" s="192">
        <v>30</v>
      </c>
      <c r="AB66" s="192">
        <v>36</v>
      </c>
      <c r="AC66" s="192">
        <v>34</v>
      </c>
      <c r="AD66" s="192">
        <v>35</v>
      </c>
    </row>
    <row r="67" spans="1:30" ht="12.7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</row>
    <row r="68" spans="1:30" ht="13.5" thickBot="1">
      <c r="A68" s="180" t="s">
        <v>205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</row>
    <row r="69" spans="1:30" ht="13.5" thickBot="1">
      <c r="A69" s="181" t="s">
        <v>183</v>
      </c>
      <c r="B69" s="182" t="s">
        <v>184</v>
      </c>
      <c r="C69" s="183" t="s">
        <v>185</v>
      </c>
      <c r="D69" s="183" t="s">
        <v>186</v>
      </c>
      <c r="E69" s="183" t="s">
        <v>187</v>
      </c>
      <c r="F69" s="183" t="s">
        <v>188</v>
      </c>
      <c r="G69" s="183" t="s">
        <v>189</v>
      </c>
      <c r="H69" s="183" t="s">
        <v>190</v>
      </c>
      <c r="I69" s="183" t="s">
        <v>191</v>
      </c>
      <c r="J69" s="183" t="s">
        <v>192</v>
      </c>
      <c r="K69" s="183" t="s">
        <v>193</v>
      </c>
      <c r="L69" s="183" t="s">
        <v>194</v>
      </c>
      <c r="M69" s="183" t="s">
        <v>195</v>
      </c>
      <c r="N69" s="183" t="s">
        <v>196</v>
      </c>
      <c r="O69" s="183" t="s">
        <v>197</v>
      </c>
      <c r="P69" s="183" t="s">
        <v>198</v>
      </c>
      <c r="Q69" s="184">
        <v>1978</v>
      </c>
      <c r="R69" s="184">
        <v>1979</v>
      </c>
      <c r="S69" s="184">
        <v>1980</v>
      </c>
      <c r="T69" s="184">
        <v>1981</v>
      </c>
      <c r="U69" s="184">
        <v>1982</v>
      </c>
      <c r="V69" s="184">
        <v>1983</v>
      </c>
      <c r="W69" s="184">
        <v>1984</v>
      </c>
      <c r="X69" s="184">
        <v>1985</v>
      </c>
      <c r="Y69" s="184">
        <v>1986</v>
      </c>
      <c r="Z69" s="184">
        <v>1987</v>
      </c>
      <c r="AA69" s="184">
        <v>1988</v>
      </c>
      <c r="AB69" s="184">
        <v>1989</v>
      </c>
      <c r="AC69" s="184">
        <v>1990</v>
      </c>
      <c r="AD69" s="184">
        <v>1991</v>
      </c>
    </row>
    <row r="70" spans="1:30" ht="12.75">
      <c r="A70" s="185" t="s">
        <v>199</v>
      </c>
      <c r="B70" s="185" t="s">
        <v>184</v>
      </c>
      <c r="C70" s="186">
        <v>0.15</v>
      </c>
      <c r="D70" s="186">
        <v>0.1</v>
      </c>
      <c r="E70" s="186">
        <v>0.12</v>
      </c>
      <c r="F70" s="186">
        <v>0.19</v>
      </c>
      <c r="G70" s="186">
        <v>0.13</v>
      </c>
      <c r="H70" s="186">
        <v>0.1</v>
      </c>
      <c r="I70" s="186">
        <v>0.16</v>
      </c>
      <c r="J70" s="186">
        <v>0.1</v>
      </c>
      <c r="K70" s="186">
        <v>0.09</v>
      </c>
      <c r="L70" s="186">
        <v>0.16</v>
      </c>
      <c r="M70" s="186">
        <v>0.15</v>
      </c>
      <c r="N70" s="186">
        <v>0.19</v>
      </c>
      <c r="O70" s="186">
        <v>0.19</v>
      </c>
      <c r="P70" s="186">
        <v>0.18</v>
      </c>
      <c r="Q70" s="186">
        <v>0.13</v>
      </c>
      <c r="R70" s="186">
        <v>0.13</v>
      </c>
      <c r="S70" s="186">
        <v>0.14</v>
      </c>
      <c r="T70" s="186">
        <v>0.16</v>
      </c>
      <c r="U70" s="186">
        <v>0.17</v>
      </c>
      <c r="V70" s="186">
        <v>0.12</v>
      </c>
      <c r="W70" s="186">
        <v>0.13</v>
      </c>
      <c r="X70" s="186">
        <v>0.15</v>
      </c>
      <c r="Y70" s="186">
        <v>0.09</v>
      </c>
      <c r="Z70" s="186">
        <v>0.08</v>
      </c>
      <c r="AA70" s="186">
        <v>0.13</v>
      </c>
      <c r="AB70" s="186">
        <v>0.12</v>
      </c>
      <c r="AC70" s="186">
        <v>0.1</v>
      </c>
      <c r="AD70" s="186">
        <v>0.07</v>
      </c>
    </row>
    <row r="71" spans="1:30" ht="12.75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</row>
    <row r="72" spans="1:30" ht="13.5" thickBot="1">
      <c r="A72" s="180" t="s">
        <v>206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</row>
    <row r="73" spans="1:30" ht="13.5" thickBot="1">
      <c r="A73" s="181" t="s">
        <v>183</v>
      </c>
      <c r="B73" s="182" t="s">
        <v>184</v>
      </c>
      <c r="C73" s="183" t="s">
        <v>185</v>
      </c>
      <c r="D73" s="183" t="s">
        <v>186</v>
      </c>
      <c r="E73" s="183" t="s">
        <v>187</v>
      </c>
      <c r="F73" s="183" t="s">
        <v>188</v>
      </c>
      <c r="G73" s="183" t="s">
        <v>189</v>
      </c>
      <c r="H73" s="183" t="s">
        <v>190</v>
      </c>
      <c r="I73" s="183" t="s">
        <v>191</v>
      </c>
      <c r="J73" s="183" t="s">
        <v>192</v>
      </c>
      <c r="K73" s="183" t="s">
        <v>193</v>
      </c>
      <c r="L73" s="183" t="s">
        <v>194</v>
      </c>
      <c r="M73" s="183" t="s">
        <v>195</v>
      </c>
      <c r="N73" s="183" t="s">
        <v>196</v>
      </c>
      <c r="O73" s="183" t="s">
        <v>197</v>
      </c>
      <c r="P73" s="183" t="s">
        <v>198</v>
      </c>
      <c r="Q73" s="184">
        <v>1978</v>
      </c>
      <c r="R73" s="184">
        <v>1979</v>
      </c>
      <c r="S73" s="184">
        <v>1980</v>
      </c>
      <c r="T73" s="184">
        <v>1981</v>
      </c>
      <c r="U73" s="184">
        <v>1982</v>
      </c>
      <c r="V73" s="184">
        <v>1983</v>
      </c>
      <c r="W73" s="184">
        <v>1984</v>
      </c>
      <c r="X73" s="184">
        <v>1985</v>
      </c>
      <c r="Y73" s="184">
        <v>1986</v>
      </c>
      <c r="Z73" s="184">
        <v>1987</v>
      </c>
      <c r="AA73" s="184">
        <v>1988</v>
      </c>
      <c r="AB73" s="184">
        <v>1989</v>
      </c>
      <c r="AC73" s="184">
        <v>1990</v>
      </c>
      <c r="AD73" s="184">
        <v>1991</v>
      </c>
    </row>
    <row r="74" spans="1:30" ht="12.75">
      <c r="A74" s="191" t="s">
        <v>342</v>
      </c>
      <c r="B74" s="185" t="s">
        <v>184</v>
      </c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85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</row>
    <row r="75" spans="1:30" ht="12.75">
      <c r="A75" s="185" t="s">
        <v>199</v>
      </c>
      <c r="B75" s="185" t="s">
        <v>184</v>
      </c>
      <c r="C75" s="192">
        <v>21</v>
      </c>
      <c r="D75" s="192">
        <v>9</v>
      </c>
      <c r="E75" s="192">
        <v>13</v>
      </c>
      <c r="F75" s="192">
        <v>13</v>
      </c>
      <c r="G75" s="192">
        <v>12</v>
      </c>
      <c r="H75" s="192">
        <v>11</v>
      </c>
      <c r="I75" s="192">
        <v>12</v>
      </c>
      <c r="J75" s="192">
        <v>11</v>
      </c>
      <c r="K75" s="192">
        <v>11</v>
      </c>
      <c r="L75" s="192">
        <v>35</v>
      </c>
      <c r="M75" s="192">
        <v>15</v>
      </c>
      <c r="N75" s="192">
        <v>12</v>
      </c>
      <c r="O75" s="192">
        <v>12</v>
      </c>
      <c r="P75" s="192">
        <v>17</v>
      </c>
      <c r="Q75" s="192">
        <v>12</v>
      </c>
      <c r="R75" s="192">
        <v>15</v>
      </c>
      <c r="S75" s="192">
        <v>14</v>
      </c>
      <c r="T75" s="192">
        <v>29</v>
      </c>
      <c r="U75" s="192">
        <v>17</v>
      </c>
      <c r="V75" s="192">
        <v>18</v>
      </c>
      <c r="W75" s="192">
        <v>16</v>
      </c>
      <c r="X75" s="192">
        <v>19</v>
      </c>
      <c r="Y75" s="192">
        <v>27</v>
      </c>
      <c r="Z75" s="192">
        <v>19</v>
      </c>
      <c r="AA75" s="192">
        <v>13</v>
      </c>
      <c r="AB75" s="192">
        <v>22</v>
      </c>
      <c r="AC75" s="192">
        <v>25</v>
      </c>
      <c r="AD75" s="192">
        <v>26</v>
      </c>
    </row>
    <row r="78" spans="1:5" ht="12.75">
      <c r="A78" s="196" t="s">
        <v>341</v>
      </c>
      <c r="B78" s="196"/>
      <c r="C78" s="196"/>
      <c r="D78" s="196"/>
      <c r="E78" s="196"/>
    </row>
    <row r="79" ht="12.75">
      <c r="C79" s="14" t="s">
        <v>309</v>
      </c>
    </row>
    <row r="80" spans="2:4" ht="12.75">
      <c r="B80" s="193" t="s">
        <v>129</v>
      </c>
      <c r="D80" s="193" t="s">
        <v>340</v>
      </c>
    </row>
    <row r="81" spans="2:4" ht="12.75">
      <c r="B81" s="33">
        <v>1976</v>
      </c>
      <c r="D81" s="194">
        <v>0.0684</v>
      </c>
    </row>
    <row r="82" spans="2:4" ht="12.75">
      <c r="B82" s="33">
        <v>1977</v>
      </c>
      <c r="D82" s="194">
        <v>0.0682</v>
      </c>
    </row>
    <row r="83" spans="2:4" ht="12.75">
      <c r="B83" s="33">
        <v>1978</v>
      </c>
      <c r="D83" s="194">
        <v>0.0906</v>
      </c>
    </row>
    <row r="84" spans="2:4" ht="12.75">
      <c r="B84" s="33">
        <v>1979</v>
      </c>
      <c r="D84" s="194">
        <v>0.1267</v>
      </c>
    </row>
    <row r="85" spans="2:4" ht="12.75">
      <c r="B85" s="33">
        <v>1980</v>
      </c>
      <c r="D85" s="194">
        <v>0.1527</v>
      </c>
    </row>
    <row r="86" spans="2:4" ht="12.75">
      <c r="B86" s="33">
        <v>1981</v>
      </c>
      <c r="D86" s="194">
        <v>0.1887</v>
      </c>
    </row>
    <row r="87" spans="2:4" ht="12.75">
      <c r="B87" s="33">
        <v>1982</v>
      </c>
      <c r="D87" s="194">
        <v>0.1486</v>
      </c>
    </row>
    <row r="88" spans="2:4" ht="12.75">
      <c r="B88" s="33">
        <v>1983</v>
      </c>
      <c r="D88" s="194">
        <v>0.1079</v>
      </c>
    </row>
    <row r="89" spans="2:4" ht="12.75">
      <c r="B89" s="33">
        <v>1984</v>
      </c>
      <c r="D89" s="194">
        <v>0.1204</v>
      </c>
    </row>
    <row r="90" spans="2:4" ht="12.75">
      <c r="B90" s="33">
        <v>1985</v>
      </c>
      <c r="D90" s="194">
        <v>0.0993</v>
      </c>
    </row>
    <row r="91" spans="2:4" ht="12.75">
      <c r="B91" s="33">
        <v>1986</v>
      </c>
      <c r="D91" s="194">
        <v>0.0883</v>
      </c>
    </row>
    <row r="92" spans="2:4" ht="12.75">
      <c r="B92" s="33">
        <v>1987</v>
      </c>
      <c r="D92" s="194">
        <v>0.082</v>
      </c>
    </row>
    <row r="93" spans="2:4" ht="12.75">
      <c r="B93" s="33">
        <v>1988</v>
      </c>
      <c r="D93" s="194">
        <v>0.0932</v>
      </c>
    </row>
    <row r="94" spans="2:4" ht="12.75">
      <c r="B94" s="33">
        <v>1989</v>
      </c>
      <c r="D94" s="194">
        <v>0.1087</v>
      </c>
    </row>
    <row r="95" spans="2:4" ht="12.75">
      <c r="B95" s="33">
        <v>1990</v>
      </c>
      <c r="D95" s="194">
        <v>0.1001</v>
      </c>
    </row>
    <row r="96" spans="2:4" ht="12.75">
      <c r="B96" s="33">
        <v>1991</v>
      </c>
      <c r="D96" s="194">
        <v>0.0846</v>
      </c>
    </row>
    <row r="97" spans="2:4" ht="12.75">
      <c r="B97" s="33">
        <v>1992</v>
      </c>
      <c r="D97" s="194">
        <v>0.0625</v>
      </c>
    </row>
    <row r="98" spans="2:4" ht="12.75">
      <c r="B98" s="33">
        <v>1993</v>
      </c>
      <c r="D98" s="194">
        <v>0.06</v>
      </c>
    </row>
    <row r="99" spans="2:4" ht="12.75">
      <c r="B99" s="33">
        <v>1994</v>
      </c>
      <c r="D99" s="194">
        <v>0.0714</v>
      </c>
    </row>
    <row r="100" spans="2:4" ht="12.75">
      <c r="B100" s="33">
        <v>1995</v>
      </c>
      <c r="D100" s="194">
        <v>0.0883</v>
      </c>
    </row>
    <row r="101" spans="2:4" ht="12.75">
      <c r="B101" s="33">
        <v>1996</v>
      </c>
      <c r="D101" s="194">
        <v>0.0827</v>
      </c>
    </row>
    <row r="102" spans="2:4" ht="12.75">
      <c r="B102" s="33">
        <v>1997</v>
      </c>
      <c r="D102" s="194">
        <v>0.0844</v>
      </c>
    </row>
    <row r="103" spans="2:4" ht="12.75">
      <c r="B103" s="33" t="s">
        <v>0</v>
      </c>
      <c r="C103" s="14" t="s">
        <v>0</v>
      </c>
      <c r="D103" s="194" t="s">
        <v>0</v>
      </c>
    </row>
    <row r="104" spans="9:13" ht="12.75">
      <c r="I104" s="197"/>
      <c r="J104" s="197"/>
      <c r="K104" s="197"/>
      <c r="L104" s="197"/>
      <c r="M104" s="197"/>
    </row>
    <row r="105" spans="1:14" ht="12.75">
      <c r="A105" s="197"/>
      <c r="B105" s="197"/>
      <c r="C105" s="197"/>
      <c r="D105" s="197"/>
      <c r="E105" s="197"/>
      <c r="I105" s="198"/>
      <c r="J105" s="198"/>
      <c r="K105" s="198"/>
      <c r="L105" s="198"/>
      <c r="M105" s="198"/>
      <c r="N105" s="23"/>
    </row>
    <row r="106" spans="1:14" ht="12.75">
      <c r="A106" s="198"/>
      <c r="B106" s="198"/>
      <c r="C106" s="198"/>
      <c r="D106" s="198"/>
      <c r="E106" s="198"/>
      <c r="F106" s="23"/>
      <c r="I106" s="195"/>
      <c r="J106" s="23"/>
      <c r="K106" s="23"/>
      <c r="L106" s="195"/>
      <c r="M106" s="195"/>
      <c r="N106" s="195"/>
    </row>
    <row r="107" spans="1:14" ht="12.75">
      <c r="A107" s="195"/>
      <c r="B107" s="23"/>
      <c r="C107" s="23"/>
      <c r="D107" s="195"/>
      <c r="E107" s="195"/>
      <c r="F107" s="195"/>
      <c r="I107" s="195"/>
      <c r="J107" s="195"/>
      <c r="K107" s="195"/>
      <c r="L107" s="195"/>
      <c r="M107" s="195"/>
      <c r="N107" s="195"/>
    </row>
    <row r="108" spans="1:14" ht="12.75">
      <c r="A108" s="195"/>
      <c r="B108" s="195"/>
      <c r="C108" s="195"/>
      <c r="D108" s="195"/>
      <c r="E108" s="195"/>
      <c r="F108" s="195"/>
      <c r="I108" s="195"/>
      <c r="J108" s="195"/>
      <c r="K108" s="195"/>
      <c r="L108" s="195"/>
      <c r="M108" s="23"/>
      <c r="N108" s="23"/>
    </row>
    <row r="109" spans="1:14" ht="12.75">
      <c r="A109" s="195"/>
      <c r="B109" s="195"/>
      <c r="C109" s="195"/>
      <c r="D109" s="195"/>
      <c r="E109" s="23"/>
      <c r="F109" s="23"/>
      <c r="I109" s="31"/>
      <c r="J109" s="31"/>
      <c r="K109" s="31"/>
      <c r="L109" s="199"/>
      <c r="M109" s="199"/>
      <c r="N109" s="31"/>
    </row>
    <row r="110" spans="1:9" ht="12.75">
      <c r="A110" s="31"/>
      <c r="B110" s="31"/>
      <c r="C110" s="31"/>
      <c r="D110" s="199"/>
      <c r="E110" s="199"/>
      <c r="F110" s="31"/>
      <c r="I110" s="174"/>
    </row>
    <row r="111" spans="1:14" ht="12.75">
      <c r="A111" s="174"/>
      <c r="J111" s="175"/>
      <c r="K111" s="176"/>
      <c r="L111" s="32"/>
      <c r="M111" s="32"/>
      <c r="N111" s="33"/>
    </row>
    <row r="112" spans="2:14" ht="12.75">
      <c r="B112" s="175"/>
      <c r="C112" s="176"/>
      <c r="D112" s="32"/>
      <c r="E112" s="32"/>
      <c r="F112" s="33"/>
      <c r="J112" s="175"/>
      <c r="K112" s="176"/>
      <c r="L112" s="32"/>
      <c r="M112" s="32"/>
      <c r="N112" s="33"/>
    </row>
    <row r="113" spans="2:14" ht="12.75">
      <c r="B113" s="175"/>
      <c r="C113" s="176"/>
      <c r="D113" s="32"/>
      <c r="E113" s="32"/>
      <c r="F113" s="33"/>
      <c r="J113" s="175"/>
      <c r="K113" s="176"/>
      <c r="L113" s="173"/>
      <c r="M113" s="173"/>
      <c r="N113" s="33"/>
    </row>
    <row r="114" spans="2:14" ht="12.75">
      <c r="B114" s="175"/>
      <c r="C114" s="176"/>
      <c r="D114" s="173"/>
      <c r="E114" s="173"/>
      <c r="F114" s="33"/>
      <c r="N114" s="33"/>
    </row>
    <row r="115" spans="6:14" ht="12.75">
      <c r="F115" s="33"/>
      <c r="I115" s="174"/>
      <c r="N115" s="33"/>
    </row>
    <row r="116" spans="1:14" ht="12.75">
      <c r="A116" s="174"/>
      <c r="F116" s="33"/>
      <c r="J116" s="175"/>
      <c r="K116" s="176"/>
      <c r="L116" s="32"/>
      <c r="M116" s="32"/>
      <c r="N116" s="33"/>
    </row>
    <row r="117" spans="2:14" ht="12.75">
      <c r="B117" s="175"/>
      <c r="C117" s="176"/>
      <c r="D117" s="32"/>
      <c r="E117" s="32"/>
      <c r="F117" s="33"/>
      <c r="J117" s="175"/>
      <c r="K117" s="176"/>
      <c r="L117" s="32"/>
      <c r="M117" s="32"/>
      <c r="N117" s="33"/>
    </row>
    <row r="118" spans="2:6" ht="12.75">
      <c r="B118" s="175"/>
      <c r="C118" s="176"/>
      <c r="D118" s="32"/>
      <c r="E118" s="32"/>
      <c r="F118" s="33"/>
    </row>
    <row r="121" ht="12.75">
      <c r="I121" s="174"/>
    </row>
    <row r="122" ht="12.75">
      <c r="A122" s="174"/>
    </row>
  </sheetData>
  <mergeCells count="10">
    <mergeCell ref="I104:M104"/>
    <mergeCell ref="I105:M105"/>
    <mergeCell ref="L109:M109"/>
    <mergeCell ref="AA3:AE3"/>
    <mergeCell ref="AA4:AE4"/>
    <mergeCell ref="AD8:AE8"/>
    <mergeCell ref="A78:E78"/>
    <mergeCell ref="A105:E105"/>
    <mergeCell ref="A106:E106"/>
    <mergeCell ref="D110:E110"/>
  </mergeCells>
  <printOptions/>
  <pageMargins left="0.75" right="0.75" top="1" bottom="1" header="0.5" footer="0.5"/>
  <pageSetup horizontalDpi="300" verticalDpi="3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C1139"/>
  <sheetViews>
    <sheetView tabSelected="1" zoomScale="75" zoomScaleNormal="75" workbookViewId="0" topLeftCell="A1">
      <selection activeCell="D4" sqref="D4"/>
    </sheetView>
  </sheetViews>
  <sheetFormatPr defaultColWidth="9.00390625" defaultRowHeight="12.75"/>
  <cols>
    <col min="1" max="1" width="57.00390625" style="14" customWidth="1"/>
    <col min="2" max="9" width="9.00390625" style="14" customWidth="1"/>
    <col min="10" max="10" width="10.375" style="14" bestFit="1" customWidth="1"/>
    <col min="11" max="16384" width="9.00390625" style="14" customWidth="1"/>
  </cols>
  <sheetData>
    <row r="1" spans="1:55" ht="15">
      <c r="A1" s="49"/>
      <c r="B1" s="18"/>
      <c r="C1" s="18" t="s">
        <v>255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</row>
    <row r="2" spans="1:55" ht="15">
      <c r="A2" s="49"/>
      <c r="B2" s="18"/>
      <c r="C2" s="18" t="s">
        <v>256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</row>
    <row r="3" spans="1:55" ht="15">
      <c r="A3" s="49"/>
      <c r="B3" s="18" t="s">
        <v>257</v>
      </c>
      <c r="C3" s="102" t="s">
        <v>254</v>
      </c>
      <c r="D3" s="92"/>
      <c r="E3" s="92"/>
      <c r="F3" s="92"/>
      <c r="G3" s="92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</row>
    <row r="4" spans="1:55" ht="15">
      <c r="A4" s="18"/>
      <c r="B4" s="18"/>
      <c r="C4" s="103"/>
      <c r="D4" s="201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</row>
    <row r="5" spans="1:55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</row>
    <row r="6" spans="1:55" ht="15">
      <c r="A6" s="34" t="s">
        <v>401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</row>
    <row r="7" spans="1:55" ht="15">
      <c r="A7" s="67" t="s">
        <v>207</v>
      </c>
      <c r="B7" s="67" t="s">
        <v>207</v>
      </c>
      <c r="C7" s="67" t="s">
        <v>207</v>
      </c>
      <c r="D7" s="67" t="s">
        <v>207</v>
      </c>
      <c r="E7" s="67" t="s">
        <v>207</v>
      </c>
      <c r="F7" s="67" t="s">
        <v>207</v>
      </c>
      <c r="G7" s="67" t="s">
        <v>207</v>
      </c>
      <c r="H7" s="67" t="s">
        <v>207</v>
      </c>
      <c r="I7" s="67" t="s">
        <v>207</v>
      </c>
      <c r="J7" s="67" t="s">
        <v>207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ht="15">
      <c r="A8" s="34" t="s">
        <v>208</v>
      </c>
      <c r="B8" s="104">
        <v>1989</v>
      </c>
      <c r="C8" s="104">
        <v>1990</v>
      </c>
      <c r="D8" s="104">
        <v>1991</v>
      </c>
      <c r="E8" s="104">
        <v>1992</v>
      </c>
      <c r="F8" s="104">
        <v>1993</v>
      </c>
      <c r="G8" s="104">
        <v>1994</v>
      </c>
      <c r="H8" s="104">
        <v>1995</v>
      </c>
      <c r="I8" s="104">
        <v>1996</v>
      </c>
      <c r="J8" s="104">
        <v>1997</v>
      </c>
      <c r="K8" s="63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ht="15">
      <c r="A9" s="67" t="s">
        <v>207</v>
      </c>
      <c r="B9" s="67" t="s">
        <v>207</v>
      </c>
      <c r="C9" s="67" t="s">
        <v>207</v>
      </c>
      <c r="D9" s="67" t="s">
        <v>207</v>
      </c>
      <c r="E9" s="67" t="s">
        <v>207</v>
      </c>
      <c r="F9" s="67" t="s">
        <v>207</v>
      </c>
      <c r="G9" s="67" t="s">
        <v>207</v>
      </c>
      <c r="H9" s="67" t="s">
        <v>207</v>
      </c>
      <c r="I9" s="67" t="s">
        <v>207</v>
      </c>
      <c r="J9" s="67" t="s">
        <v>207</v>
      </c>
      <c r="K9" s="105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ht="15">
      <c r="A10" s="18"/>
      <c r="B10" s="18"/>
      <c r="C10" s="18"/>
      <c r="D10" s="18"/>
      <c r="E10" s="34" t="s">
        <v>209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ht="15">
      <c r="A11" s="34" t="s">
        <v>210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ht="15">
      <c r="A12" s="34" t="s">
        <v>211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ht="15">
      <c r="A13" s="34" t="s">
        <v>212</v>
      </c>
      <c r="B13" s="35">
        <f aca="true" t="shared" si="0" ref="B13:I13">(B37*B38)</f>
        <v>93.026</v>
      </c>
      <c r="C13" s="35">
        <f t="shared" si="0"/>
        <v>82.4832</v>
      </c>
      <c r="D13" s="35">
        <f t="shared" si="0"/>
        <v>60.139599999999994</v>
      </c>
      <c r="E13" s="35">
        <f t="shared" si="0"/>
        <v>84.04200000000002</v>
      </c>
      <c r="F13" s="35">
        <f t="shared" si="0"/>
        <v>74.08800000000001</v>
      </c>
      <c r="G13" s="35">
        <f t="shared" si="0"/>
        <v>87.08760000000001</v>
      </c>
      <c r="H13" s="35">
        <f t="shared" si="0"/>
        <v>95.55539999999999</v>
      </c>
      <c r="I13" s="35">
        <f t="shared" si="0"/>
        <v>105.0857</v>
      </c>
      <c r="J13" s="18">
        <v>114.5808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ht="15">
      <c r="A14" s="34" t="s">
        <v>213</v>
      </c>
      <c r="B14" s="35">
        <v>0.49</v>
      </c>
      <c r="C14" s="35">
        <v>0.37</v>
      </c>
      <c r="D14" s="35">
        <v>0.39</v>
      </c>
      <c r="E14" s="39">
        <v>0.35</v>
      </c>
      <c r="F14" s="35">
        <v>0.37</v>
      </c>
      <c r="G14" s="35">
        <v>4.56</v>
      </c>
      <c r="H14" s="35">
        <v>4.44</v>
      </c>
      <c r="I14" s="39">
        <v>4.43</v>
      </c>
      <c r="J14" s="18">
        <v>4.71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ht="15">
      <c r="A15" s="34" t="s">
        <v>214</v>
      </c>
      <c r="B15" s="35">
        <f aca="true" t="shared" si="1" ref="B15:I15">B13+B14</f>
        <v>93.51599999999999</v>
      </c>
      <c r="C15" s="35">
        <f t="shared" si="1"/>
        <v>82.8532</v>
      </c>
      <c r="D15" s="35">
        <f t="shared" si="1"/>
        <v>60.529599999999995</v>
      </c>
      <c r="E15" s="35">
        <f t="shared" si="1"/>
        <v>84.39200000000001</v>
      </c>
      <c r="F15" s="35">
        <f t="shared" si="1"/>
        <v>74.45800000000001</v>
      </c>
      <c r="G15" s="35">
        <f t="shared" si="1"/>
        <v>91.64760000000001</v>
      </c>
      <c r="H15" s="35">
        <f t="shared" si="1"/>
        <v>99.99539999999999</v>
      </c>
      <c r="I15" s="35">
        <f t="shared" si="1"/>
        <v>109.51570000000001</v>
      </c>
      <c r="J15" s="18">
        <v>119.29079999999999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ht="15">
      <c r="A16" s="18"/>
      <c r="B16" s="35"/>
      <c r="C16" s="35"/>
      <c r="D16" s="35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ht="15">
      <c r="A17" s="34" t="s">
        <v>215</v>
      </c>
      <c r="B17" s="35"/>
      <c r="C17" s="38" t="s">
        <v>0</v>
      </c>
      <c r="D17" s="35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ht="15">
      <c r="A18" s="34" t="s">
        <v>216</v>
      </c>
      <c r="B18" s="35">
        <v>5.63</v>
      </c>
      <c r="C18" s="35">
        <v>5.81</v>
      </c>
      <c r="D18" s="35">
        <v>4.43</v>
      </c>
      <c r="E18" s="39">
        <v>4.87</v>
      </c>
      <c r="F18" s="35">
        <v>5.26</v>
      </c>
      <c r="G18" s="35">
        <v>5.09</v>
      </c>
      <c r="H18" s="35">
        <v>5.3</v>
      </c>
      <c r="I18" s="39">
        <v>6.79</v>
      </c>
      <c r="J18" s="18">
        <v>7.24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ht="15">
      <c r="A19" s="34" t="s">
        <v>217</v>
      </c>
      <c r="B19" s="35">
        <v>13.05</v>
      </c>
      <c r="C19" s="35">
        <v>11.24</v>
      </c>
      <c r="D19" s="35">
        <v>11.66</v>
      </c>
      <c r="E19" s="35">
        <v>11.7</v>
      </c>
      <c r="F19" s="35">
        <v>11.37</v>
      </c>
      <c r="G19" s="35">
        <v>13.7</v>
      </c>
      <c r="H19" s="35">
        <v>17.37</v>
      </c>
      <c r="I19" s="39">
        <v>16.72</v>
      </c>
      <c r="J19" s="18">
        <v>16.46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ht="15">
      <c r="A20" s="34" t="s">
        <v>218</v>
      </c>
      <c r="B20" s="35">
        <v>2.8</v>
      </c>
      <c r="C20" s="35">
        <v>3.06</v>
      </c>
      <c r="D20" s="35">
        <v>3.19</v>
      </c>
      <c r="E20" s="39">
        <v>3.35</v>
      </c>
      <c r="F20" s="35">
        <v>3.49</v>
      </c>
      <c r="G20" s="35">
        <v>2.81</v>
      </c>
      <c r="H20" s="35">
        <v>2.9</v>
      </c>
      <c r="I20" s="39">
        <v>3.06</v>
      </c>
      <c r="J20" s="18">
        <v>3.14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ht="15">
      <c r="A21" s="34" t="s">
        <v>219</v>
      </c>
      <c r="B21" s="35">
        <v>4.52</v>
      </c>
      <c r="C21" s="35">
        <v>5.03</v>
      </c>
      <c r="D21" s="35">
        <v>4.76</v>
      </c>
      <c r="E21" s="39">
        <v>4.82</v>
      </c>
      <c r="F21" s="35">
        <v>4.89</v>
      </c>
      <c r="G21" s="35">
        <v>8.62</v>
      </c>
      <c r="H21" s="35">
        <v>9.08</v>
      </c>
      <c r="I21" s="39">
        <v>7.79</v>
      </c>
      <c r="J21" s="18">
        <v>10.03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ht="15">
      <c r="A22" s="34" t="s">
        <v>220</v>
      </c>
      <c r="B22" s="35">
        <v>7.73</v>
      </c>
      <c r="C22" s="35">
        <v>8.36</v>
      </c>
      <c r="D22" s="35">
        <v>8.73</v>
      </c>
      <c r="E22" s="39">
        <v>8.55</v>
      </c>
      <c r="F22" s="35">
        <v>8.64</v>
      </c>
      <c r="G22" s="35">
        <v>9.8</v>
      </c>
      <c r="H22" s="35">
        <v>9.44</v>
      </c>
      <c r="I22" s="39">
        <v>10.95</v>
      </c>
      <c r="J22" s="18">
        <v>12.25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ht="15">
      <c r="A23" s="34" t="s">
        <v>221</v>
      </c>
      <c r="B23" s="35">
        <v>6.61</v>
      </c>
      <c r="C23" s="35">
        <v>6.49</v>
      </c>
      <c r="D23" s="35">
        <v>7.21</v>
      </c>
      <c r="E23" s="39">
        <v>7.48</v>
      </c>
      <c r="F23" s="35">
        <v>7.77</v>
      </c>
      <c r="G23" s="35">
        <v>10.86</v>
      </c>
      <c r="H23" s="35">
        <v>11.53</v>
      </c>
      <c r="I23" s="39">
        <v>12.03</v>
      </c>
      <c r="J23" s="18">
        <v>13.57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ht="15">
      <c r="A24" s="34" t="s">
        <v>222</v>
      </c>
      <c r="B24" s="35">
        <v>4.5</v>
      </c>
      <c r="C24" s="35">
        <v>4.49</v>
      </c>
      <c r="D24" s="35">
        <v>4.85</v>
      </c>
      <c r="E24" s="39">
        <v>5.09</v>
      </c>
      <c r="F24" s="35">
        <v>4.85</v>
      </c>
      <c r="G24" s="35">
        <v>4.03</v>
      </c>
      <c r="H24" s="35">
        <v>4.15</v>
      </c>
      <c r="I24" s="39">
        <v>5.18</v>
      </c>
      <c r="J24" s="18">
        <v>5.61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ht="15">
      <c r="A25" s="34" t="s">
        <v>223</v>
      </c>
      <c r="B25" s="35">
        <v>0.05</v>
      </c>
      <c r="C25" s="35">
        <v>0.04</v>
      </c>
      <c r="D25" s="35">
        <v>0.05</v>
      </c>
      <c r="E25" s="39">
        <v>0.05</v>
      </c>
      <c r="F25" s="35">
        <v>0.05</v>
      </c>
      <c r="G25" s="35">
        <v>0.06</v>
      </c>
      <c r="H25" s="35">
        <v>0.06</v>
      </c>
      <c r="I25" s="39">
        <v>0.07</v>
      </c>
      <c r="J25" s="18">
        <v>0.07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ht="15">
      <c r="A26" s="34" t="s">
        <v>224</v>
      </c>
      <c r="B26" s="35">
        <f aca="true" t="shared" si="2" ref="B26:I26">SUM(B18:B25)</f>
        <v>44.89</v>
      </c>
      <c r="C26" s="35">
        <f t="shared" si="2"/>
        <v>44.52</v>
      </c>
      <c r="D26" s="35">
        <f t="shared" si="2"/>
        <v>44.879999999999995</v>
      </c>
      <c r="E26" s="35">
        <f t="shared" si="2"/>
        <v>45.91000000000001</v>
      </c>
      <c r="F26" s="35">
        <f t="shared" si="2"/>
        <v>46.32</v>
      </c>
      <c r="G26" s="35">
        <f t="shared" si="2"/>
        <v>54.97</v>
      </c>
      <c r="H26" s="35">
        <f t="shared" si="2"/>
        <v>59.83</v>
      </c>
      <c r="I26" s="35">
        <f t="shared" si="2"/>
        <v>62.59</v>
      </c>
      <c r="J26" s="18">
        <v>68.37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ht="15">
      <c r="A27" s="18"/>
      <c r="B27" s="35"/>
      <c r="C27" s="35"/>
      <c r="D27" s="35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ht="15">
      <c r="A28" s="34" t="s">
        <v>225</v>
      </c>
      <c r="B28" s="35">
        <v>3.45</v>
      </c>
      <c r="C28" s="35">
        <v>5.25</v>
      </c>
      <c r="D28" s="35">
        <v>3.6</v>
      </c>
      <c r="E28" s="39">
        <v>3.54</v>
      </c>
      <c r="F28" s="35">
        <v>4.28</v>
      </c>
      <c r="G28" s="35">
        <v>5.22</v>
      </c>
      <c r="H28" s="35">
        <v>6.74</v>
      </c>
      <c r="I28" s="35">
        <v>5.6</v>
      </c>
      <c r="J28" s="18">
        <v>6.59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ht="15">
      <c r="A29" s="34" t="s">
        <v>226</v>
      </c>
      <c r="B29" s="35">
        <v>7.86</v>
      </c>
      <c r="C29" s="35">
        <v>8.97</v>
      </c>
      <c r="D29" s="35">
        <v>8.21</v>
      </c>
      <c r="E29" s="39">
        <v>7.09</v>
      </c>
      <c r="F29" s="35">
        <v>9.17</v>
      </c>
      <c r="G29" s="35">
        <v>8.01</v>
      </c>
      <c r="H29" s="35">
        <v>8.46</v>
      </c>
      <c r="I29" s="39">
        <v>8.36</v>
      </c>
      <c r="J29" s="18">
        <v>8.9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ht="15">
      <c r="A30" s="34" t="s">
        <v>227</v>
      </c>
      <c r="B30" s="35">
        <v>5.96</v>
      </c>
      <c r="C30" s="35">
        <v>6.56</v>
      </c>
      <c r="D30" s="35">
        <v>6.32</v>
      </c>
      <c r="E30" s="35">
        <v>5.45</v>
      </c>
      <c r="F30" s="35">
        <v>5.47</v>
      </c>
      <c r="G30" s="35">
        <v>7.75</v>
      </c>
      <c r="H30" s="35">
        <v>10.85</v>
      </c>
      <c r="I30" s="39">
        <v>9.54</v>
      </c>
      <c r="J30" s="18">
        <v>9.49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ht="15">
      <c r="A31" s="34" t="s">
        <v>228</v>
      </c>
      <c r="B31" s="35">
        <f aca="true" t="shared" si="3" ref="B31:I31">SUM(B28:B30)</f>
        <v>17.27</v>
      </c>
      <c r="C31" s="35">
        <f t="shared" si="3"/>
        <v>20.78</v>
      </c>
      <c r="D31" s="35">
        <f t="shared" si="3"/>
        <v>18.130000000000003</v>
      </c>
      <c r="E31" s="35">
        <f t="shared" si="3"/>
        <v>16.08</v>
      </c>
      <c r="F31" s="35">
        <f t="shared" si="3"/>
        <v>18.919999999999998</v>
      </c>
      <c r="G31" s="35">
        <f t="shared" si="3"/>
        <v>20.98</v>
      </c>
      <c r="H31" s="35">
        <f t="shared" si="3"/>
        <v>26.05</v>
      </c>
      <c r="I31" s="35">
        <f t="shared" si="3"/>
        <v>23.5</v>
      </c>
      <c r="J31" s="18">
        <v>24.98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55" ht="15">
      <c r="A32" s="18"/>
      <c r="B32" s="35"/>
      <c r="C32" s="35"/>
      <c r="D32" s="35"/>
      <c r="E32" s="35"/>
      <c r="F32" s="35"/>
      <c r="G32" s="35"/>
      <c r="H32" s="35"/>
      <c r="I32" s="35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ht="15">
      <c r="A33" s="34" t="s">
        <v>229</v>
      </c>
      <c r="B33" s="35">
        <f aca="true" t="shared" si="4" ref="B33:I33">B26+B31</f>
        <v>62.16</v>
      </c>
      <c r="C33" s="35">
        <f t="shared" si="4"/>
        <v>65.30000000000001</v>
      </c>
      <c r="D33" s="35">
        <f t="shared" si="4"/>
        <v>63.01</v>
      </c>
      <c r="E33" s="35">
        <f t="shared" si="4"/>
        <v>61.99000000000001</v>
      </c>
      <c r="F33" s="35">
        <f t="shared" si="4"/>
        <v>65.24</v>
      </c>
      <c r="G33" s="35">
        <f t="shared" si="4"/>
        <v>75.95</v>
      </c>
      <c r="H33" s="35">
        <f t="shared" si="4"/>
        <v>85.88</v>
      </c>
      <c r="I33" s="35">
        <f t="shared" si="4"/>
        <v>86.09</v>
      </c>
      <c r="J33" s="18">
        <v>93.35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ht="15">
      <c r="A34" s="18"/>
      <c r="B34" s="35"/>
      <c r="C34" s="35"/>
      <c r="D34" s="35"/>
      <c r="E34" s="35"/>
      <c r="F34" s="35"/>
      <c r="G34" s="35"/>
      <c r="H34" s="35"/>
      <c r="I34" s="35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ht="15">
      <c r="A35" s="34" t="s">
        <v>246</v>
      </c>
      <c r="B35" s="35">
        <f aca="true" t="shared" si="5" ref="B35:I35">B15-B33</f>
        <v>31.355999999999995</v>
      </c>
      <c r="C35" s="35">
        <f t="shared" si="5"/>
        <v>17.55319999999999</v>
      </c>
      <c r="D35" s="35">
        <f t="shared" si="5"/>
        <v>-2.480400000000003</v>
      </c>
      <c r="E35" s="35">
        <f t="shared" si="5"/>
        <v>22.402</v>
      </c>
      <c r="F35" s="35">
        <f t="shared" si="5"/>
        <v>9.218000000000018</v>
      </c>
      <c r="G35" s="35">
        <f t="shared" si="5"/>
        <v>15.697600000000008</v>
      </c>
      <c r="H35" s="35">
        <f t="shared" si="5"/>
        <v>14.115399999999994</v>
      </c>
      <c r="I35" s="35">
        <f t="shared" si="5"/>
        <v>23.425700000000006</v>
      </c>
      <c r="J35" s="18">
        <v>25.94079999999998</v>
      </c>
      <c r="K35" s="18">
        <f>(SUM(B35:J35)+3.6)/10</f>
        <v>16.082829999999998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ht="15">
      <c r="A36" s="67" t="s">
        <v>207</v>
      </c>
      <c r="B36" s="106" t="s">
        <v>207</v>
      </c>
      <c r="C36" s="106" t="s">
        <v>207</v>
      </c>
      <c r="D36" s="106" t="s">
        <v>207</v>
      </c>
      <c r="E36" s="106" t="s">
        <v>207</v>
      </c>
      <c r="F36" s="67" t="s">
        <v>207</v>
      </c>
      <c r="G36" s="67" t="s">
        <v>207</v>
      </c>
      <c r="H36" s="67" t="s">
        <v>207</v>
      </c>
      <c r="I36" s="67" t="s">
        <v>207</v>
      </c>
      <c r="J36" s="67" t="s">
        <v>207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1:55" ht="15">
      <c r="A37" s="34" t="s">
        <v>230</v>
      </c>
      <c r="B37" s="35">
        <v>3.86</v>
      </c>
      <c r="C37" s="35">
        <v>2.88</v>
      </c>
      <c r="D37" s="39">
        <v>2.51</v>
      </c>
      <c r="E37" s="39">
        <v>3.22</v>
      </c>
      <c r="F37" s="35">
        <v>2.7</v>
      </c>
      <c r="G37" s="39">
        <v>3.06</v>
      </c>
      <c r="H37" s="39">
        <v>4.02</v>
      </c>
      <c r="I37" s="39">
        <v>5.21</v>
      </c>
      <c r="J37" s="18">
        <v>3.27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5" ht="15">
      <c r="A38" s="34" t="s">
        <v>231</v>
      </c>
      <c r="B38" s="35">
        <v>24.1</v>
      </c>
      <c r="C38" s="35">
        <v>28.64</v>
      </c>
      <c r="D38" s="39">
        <v>23.96</v>
      </c>
      <c r="E38" s="35">
        <v>26.1</v>
      </c>
      <c r="F38" s="39">
        <v>27.44</v>
      </c>
      <c r="G38" s="39">
        <v>28.46</v>
      </c>
      <c r="H38" s="39">
        <v>23.77</v>
      </c>
      <c r="I38" s="39">
        <v>20.17</v>
      </c>
      <c r="J38" s="18">
        <v>35.04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1:55" ht="15">
      <c r="A39" s="67" t="s">
        <v>207</v>
      </c>
      <c r="B39" s="67" t="s">
        <v>207</v>
      </c>
      <c r="C39" s="67" t="s">
        <v>207</v>
      </c>
      <c r="D39" s="106" t="s">
        <v>207</v>
      </c>
      <c r="E39" s="106" t="s">
        <v>207</v>
      </c>
      <c r="F39" s="67" t="s">
        <v>207</v>
      </c>
      <c r="G39" s="67" t="s">
        <v>207</v>
      </c>
      <c r="H39" s="67" t="s">
        <v>207</v>
      </c>
      <c r="I39" s="67" t="s">
        <v>207</v>
      </c>
      <c r="J39" s="67" t="s">
        <v>207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1:55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ht="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1:55" ht="15">
      <c r="A42" s="34" t="s">
        <v>402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1:55" ht="15">
      <c r="A43" s="67" t="s">
        <v>207</v>
      </c>
      <c r="B43" s="67" t="s">
        <v>207</v>
      </c>
      <c r="C43" s="67" t="s">
        <v>207</v>
      </c>
      <c r="D43" s="67" t="s">
        <v>207</v>
      </c>
      <c r="E43" s="67" t="s">
        <v>207</v>
      </c>
      <c r="F43" s="67" t="s">
        <v>207</v>
      </c>
      <c r="G43" s="67" t="s">
        <v>207</v>
      </c>
      <c r="H43" s="67" t="s">
        <v>207</v>
      </c>
      <c r="I43" s="67" t="s">
        <v>207</v>
      </c>
      <c r="J43" s="67" t="s">
        <v>207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1:55" ht="15">
      <c r="A44" s="34" t="s">
        <v>208</v>
      </c>
      <c r="B44" s="104">
        <v>1989</v>
      </c>
      <c r="C44" s="104">
        <v>1990</v>
      </c>
      <c r="D44" s="104">
        <v>1991</v>
      </c>
      <c r="E44" s="104">
        <v>1992</v>
      </c>
      <c r="F44" s="104">
        <v>1993</v>
      </c>
      <c r="G44" s="104">
        <v>1994</v>
      </c>
      <c r="H44" s="104">
        <v>1995</v>
      </c>
      <c r="I44" s="104">
        <v>1996</v>
      </c>
      <c r="J44" s="104">
        <v>1997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1:55" ht="15">
      <c r="A45" s="67" t="s">
        <v>207</v>
      </c>
      <c r="B45" s="67" t="s">
        <v>207</v>
      </c>
      <c r="C45" s="67" t="s">
        <v>207</v>
      </c>
      <c r="D45" s="67" t="s">
        <v>207</v>
      </c>
      <c r="E45" s="67" t="s">
        <v>207</v>
      </c>
      <c r="F45" s="67" t="s">
        <v>207</v>
      </c>
      <c r="G45" s="67" t="s">
        <v>207</v>
      </c>
      <c r="H45" s="67" t="s">
        <v>207</v>
      </c>
      <c r="I45" s="67" t="s">
        <v>207</v>
      </c>
      <c r="J45" s="67" t="s">
        <v>207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1:55" ht="15">
      <c r="A46" s="18"/>
      <c r="B46" s="18"/>
      <c r="C46" s="18"/>
      <c r="D46" s="18"/>
      <c r="E46" s="34" t="s">
        <v>209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1:55" ht="15">
      <c r="A47" s="34" t="s">
        <v>210</v>
      </c>
      <c r="B47" s="18"/>
      <c r="C47" s="18"/>
      <c r="D47" s="18"/>
      <c r="E47" s="18"/>
      <c r="F47" s="34" t="s">
        <v>0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1:55" ht="15">
      <c r="A48" s="34" t="s">
        <v>211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1:55" ht="15">
      <c r="A49" s="34" t="s">
        <v>212</v>
      </c>
      <c r="B49" s="35">
        <f aca="true" t="shared" si="6" ref="B49:I51">B13</f>
        <v>93.026</v>
      </c>
      <c r="C49" s="35">
        <f t="shared" si="6"/>
        <v>82.4832</v>
      </c>
      <c r="D49" s="35">
        <f t="shared" si="6"/>
        <v>60.139599999999994</v>
      </c>
      <c r="E49" s="35">
        <f t="shared" si="6"/>
        <v>84.04200000000002</v>
      </c>
      <c r="F49" s="35">
        <f t="shared" si="6"/>
        <v>74.08800000000001</v>
      </c>
      <c r="G49" s="35">
        <f t="shared" si="6"/>
        <v>87.08760000000001</v>
      </c>
      <c r="H49" s="35">
        <f t="shared" si="6"/>
        <v>95.55539999999999</v>
      </c>
      <c r="I49" s="35">
        <f t="shared" si="6"/>
        <v>105.0857</v>
      </c>
      <c r="J49" s="18">
        <v>114.5808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1:55" ht="15">
      <c r="A50" s="34" t="s">
        <v>213</v>
      </c>
      <c r="B50" s="35">
        <f t="shared" si="6"/>
        <v>0.49</v>
      </c>
      <c r="C50" s="35">
        <f t="shared" si="6"/>
        <v>0.37</v>
      </c>
      <c r="D50" s="35">
        <f t="shared" si="6"/>
        <v>0.39</v>
      </c>
      <c r="E50" s="35">
        <f t="shared" si="6"/>
        <v>0.35</v>
      </c>
      <c r="F50" s="35">
        <f t="shared" si="6"/>
        <v>0.37</v>
      </c>
      <c r="G50" s="35">
        <f t="shared" si="6"/>
        <v>4.56</v>
      </c>
      <c r="H50" s="35">
        <f t="shared" si="6"/>
        <v>4.44</v>
      </c>
      <c r="I50" s="35">
        <f t="shared" si="6"/>
        <v>4.43</v>
      </c>
      <c r="J50" s="18">
        <v>4.71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1:55" ht="15">
      <c r="A51" s="34" t="s">
        <v>214</v>
      </c>
      <c r="B51" s="35">
        <f t="shared" si="6"/>
        <v>93.51599999999999</v>
      </c>
      <c r="C51" s="35">
        <f t="shared" si="6"/>
        <v>82.8532</v>
      </c>
      <c r="D51" s="35">
        <f t="shared" si="6"/>
        <v>60.529599999999995</v>
      </c>
      <c r="E51" s="35">
        <f t="shared" si="6"/>
        <v>84.39200000000001</v>
      </c>
      <c r="F51" s="35">
        <f t="shared" si="6"/>
        <v>74.45800000000001</v>
      </c>
      <c r="G51" s="35">
        <f t="shared" si="6"/>
        <v>91.64760000000001</v>
      </c>
      <c r="H51" s="35">
        <f t="shared" si="6"/>
        <v>99.99539999999999</v>
      </c>
      <c r="I51" s="35">
        <f t="shared" si="6"/>
        <v>109.51570000000001</v>
      </c>
      <c r="J51" s="18">
        <v>119.29079999999999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1:55" ht="15">
      <c r="A52" s="18"/>
      <c r="B52" s="35"/>
      <c r="C52" s="35"/>
      <c r="D52" s="35"/>
      <c r="E52" s="35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1:55" ht="15">
      <c r="A53" s="34" t="s">
        <v>232</v>
      </c>
      <c r="B53" s="35"/>
      <c r="C53" s="35"/>
      <c r="D53" s="35"/>
      <c r="E53" s="35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1:55" ht="15">
      <c r="A54" s="34" t="s">
        <v>233</v>
      </c>
      <c r="B54" s="35">
        <f aca="true" t="shared" si="7" ref="B54:I54">B26</f>
        <v>44.89</v>
      </c>
      <c r="C54" s="35">
        <f t="shared" si="7"/>
        <v>44.52</v>
      </c>
      <c r="D54" s="35">
        <f t="shared" si="7"/>
        <v>44.879999999999995</v>
      </c>
      <c r="E54" s="35">
        <f t="shared" si="7"/>
        <v>45.91000000000001</v>
      </c>
      <c r="F54" s="35">
        <f t="shared" si="7"/>
        <v>46.32</v>
      </c>
      <c r="G54" s="35">
        <f t="shared" si="7"/>
        <v>54.97</v>
      </c>
      <c r="H54" s="35">
        <f t="shared" si="7"/>
        <v>59.83</v>
      </c>
      <c r="I54" s="35">
        <f t="shared" si="7"/>
        <v>62.59</v>
      </c>
      <c r="J54" s="18">
        <v>68.37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1:55" ht="15">
      <c r="A55" s="34" t="s">
        <v>225</v>
      </c>
      <c r="B55" s="35">
        <f aca="true" t="shared" si="8" ref="B55:I56">B28</f>
        <v>3.45</v>
      </c>
      <c r="C55" s="35">
        <f t="shared" si="8"/>
        <v>5.25</v>
      </c>
      <c r="D55" s="35">
        <f t="shared" si="8"/>
        <v>3.6</v>
      </c>
      <c r="E55" s="35">
        <f t="shared" si="8"/>
        <v>3.54</v>
      </c>
      <c r="F55" s="35">
        <f t="shared" si="8"/>
        <v>4.28</v>
      </c>
      <c r="G55" s="35">
        <f t="shared" si="8"/>
        <v>5.22</v>
      </c>
      <c r="H55" s="35">
        <f t="shared" si="8"/>
        <v>6.74</v>
      </c>
      <c r="I55" s="35">
        <f t="shared" si="8"/>
        <v>5.6</v>
      </c>
      <c r="J55" s="18">
        <v>6.59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1:55" ht="15">
      <c r="A56" s="34" t="s">
        <v>226</v>
      </c>
      <c r="B56" s="35">
        <f t="shared" si="8"/>
        <v>7.86</v>
      </c>
      <c r="C56" s="35">
        <f t="shared" si="8"/>
        <v>8.97</v>
      </c>
      <c r="D56" s="35">
        <f t="shared" si="8"/>
        <v>8.21</v>
      </c>
      <c r="E56" s="35">
        <f t="shared" si="8"/>
        <v>7.09</v>
      </c>
      <c r="F56" s="35">
        <f t="shared" si="8"/>
        <v>9.17</v>
      </c>
      <c r="G56" s="35">
        <f t="shared" si="8"/>
        <v>8.01</v>
      </c>
      <c r="H56" s="35">
        <f t="shared" si="8"/>
        <v>8.46</v>
      </c>
      <c r="I56" s="35">
        <f t="shared" si="8"/>
        <v>8.36</v>
      </c>
      <c r="J56" s="18">
        <v>8.9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1:55" ht="15">
      <c r="A57" s="34" t="s">
        <v>234</v>
      </c>
      <c r="B57" s="35">
        <v>8.88</v>
      </c>
      <c r="C57" s="35">
        <v>8.99</v>
      </c>
      <c r="D57" s="35">
        <v>9.7</v>
      </c>
      <c r="E57" s="39">
        <v>10.08</v>
      </c>
      <c r="F57" s="35">
        <v>10.46</v>
      </c>
      <c r="G57" s="35">
        <v>18.63</v>
      </c>
      <c r="H57" s="35">
        <v>19.77</v>
      </c>
      <c r="I57" s="39">
        <v>20.65</v>
      </c>
      <c r="J57" s="18">
        <v>23.39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1:55" ht="15">
      <c r="A58" s="34" t="s">
        <v>235</v>
      </c>
      <c r="B58" s="35">
        <v>1.8</v>
      </c>
      <c r="C58" s="35">
        <v>1.66</v>
      </c>
      <c r="D58" s="35">
        <v>1.22</v>
      </c>
      <c r="E58" s="39">
        <v>0.82</v>
      </c>
      <c r="F58" s="35">
        <v>0.72</v>
      </c>
      <c r="G58" s="35">
        <v>1.28</v>
      </c>
      <c r="H58" s="35">
        <v>1.67</v>
      </c>
      <c r="I58" s="39">
        <v>1.59</v>
      </c>
      <c r="J58" s="18">
        <v>1.77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spans="1:55" ht="15">
      <c r="A59" s="34" t="s">
        <v>236</v>
      </c>
      <c r="B59" s="35">
        <v>8.92</v>
      </c>
      <c r="C59" s="35">
        <v>9.8</v>
      </c>
      <c r="D59" s="35">
        <v>11.24</v>
      </c>
      <c r="E59" s="35">
        <v>12.3</v>
      </c>
      <c r="F59" s="35">
        <v>12.76</v>
      </c>
      <c r="G59" s="35">
        <v>9.62</v>
      </c>
      <c r="H59" s="35">
        <v>10.18</v>
      </c>
      <c r="I59" s="35">
        <v>9.6</v>
      </c>
      <c r="J59" s="18">
        <v>11.15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</row>
    <row r="60" spans="1:55" ht="15">
      <c r="A60" s="34" t="s">
        <v>237</v>
      </c>
      <c r="B60" s="35">
        <v>36.44</v>
      </c>
      <c r="C60" s="35">
        <v>41.13</v>
      </c>
      <c r="D60" s="35">
        <v>26.57</v>
      </c>
      <c r="E60" s="39">
        <v>38.65</v>
      </c>
      <c r="F60" s="35">
        <v>34.58</v>
      </c>
      <c r="G60" s="35">
        <v>30.14</v>
      </c>
      <c r="H60" s="35">
        <v>32.29</v>
      </c>
      <c r="I60" s="39">
        <v>34.36</v>
      </c>
      <c r="J60" s="18">
        <v>37.72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</row>
    <row r="61" spans="1:55" ht="15">
      <c r="A61" s="34" t="s">
        <v>238</v>
      </c>
      <c r="B61" s="35">
        <v>6.44</v>
      </c>
      <c r="C61" s="35">
        <v>11.91</v>
      </c>
      <c r="D61" s="35">
        <v>6.95</v>
      </c>
      <c r="E61" s="39">
        <v>7.13</v>
      </c>
      <c r="F61" s="35">
        <v>6.93</v>
      </c>
      <c r="G61" s="35">
        <v>9.55</v>
      </c>
      <c r="H61" s="35">
        <v>9.9</v>
      </c>
      <c r="I61" s="39">
        <v>10.66</v>
      </c>
      <c r="J61" s="18">
        <v>11.44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</row>
    <row r="62" spans="1:55" ht="15">
      <c r="A62" s="34" t="s">
        <v>239</v>
      </c>
      <c r="B62" s="35">
        <f aca="true" t="shared" si="9" ref="B62:I62">SUM(B54:B61)</f>
        <v>118.67999999999999</v>
      </c>
      <c r="C62" s="35">
        <f t="shared" si="9"/>
        <v>132.23</v>
      </c>
      <c r="D62" s="35">
        <f t="shared" si="9"/>
        <v>112.36999999999999</v>
      </c>
      <c r="E62" s="35">
        <f t="shared" si="9"/>
        <v>125.51999999999998</v>
      </c>
      <c r="F62" s="35">
        <f t="shared" si="9"/>
        <v>125.22</v>
      </c>
      <c r="G62" s="35">
        <f t="shared" si="9"/>
        <v>137.42000000000002</v>
      </c>
      <c r="H62" s="35">
        <f t="shared" si="9"/>
        <v>148.84</v>
      </c>
      <c r="I62" s="35">
        <f t="shared" si="9"/>
        <v>153.41</v>
      </c>
      <c r="J62" s="18">
        <v>169.33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3" spans="1:55" ht="15">
      <c r="A63" s="18"/>
      <c r="B63" s="35"/>
      <c r="C63" s="35"/>
      <c r="D63" s="35"/>
      <c r="E63" s="35"/>
      <c r="F63" s="35"/>
      <c r="G63" s="35"/>
      <c r="H63" s="35"/>
      <c r="I63" s="35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spans="1:55" ht="15">
      <c r="A64" s="34" t="s">
        <v>240</v>
      </c>
      <c r="B64" s="35">
        <f aca="true" t="shared" si="10" ref="B64:I64">B51-B62</f>
        <v>-25.164</v>
      </c>
      <c r="C64" s="35">
        <f t="shared" si="10"/>
        <v>-49.37679999999999</v>
      </c>
      <c r="D64" s="35">
        <f t="shared" si="10"/>
        <v>-51.840399999999995</v>
      </c>
      <c r="E64" s="35">
        <f t="shared" si="10"/>
        <v>-41.12799999999997</v>
      </c>
      <c r="F64" s="35">
        <f t="shared" si="10"/>
        <v>-50.761999999999986</v>
      </c>
      <c r="G64" s="35">
        <f t="shared" si="10"/>
        <v>-45.772400000000005</v>
      </c>
      <c r="H64" s="35">
        <f t="shared" si="10"/>
        <v>-48.844600000000014</v>
      </c>
      <c r="I64" s="35">
        <f t="shared" si="10"/>
        <v>-43.89429999999999</v>
      </c>
      <c r="J64" s="18">
        <v>-50.03920000000002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55" ht="15">
      <c r="A65" s="67" t="s">
        <v>207</v>
      </c>
      <c r="B65" s="106" t="s">
        <v>207</v>
      </c>
      <c r="C65" s="106" t="s">
        <v>207</v>
      </c>
      <c r="D65" s="106" t="s">
        <v>207</v>
      </c>
      <c r="E65" s="106" t="s">
        <v>207</v>
      </c>
      <c r="F65" s="106" t="s">
        <v>207</v>
      </c>
      <c r="G65" s="67" t="s">
        <v>207</v>
      </c>
      <c r="H65" s="67" t="s">
        <v>207</v>
      </c>
      <c r="I65" s="67" t="s">
        <v>207</v>
      </c>
      <c r="J65" s="67" t="s">
        <v>207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spans="1:55" ht="15">
      <c r="A66" s="34" t="s">
        <v>230</v>
      </c>
      <c r="B66" s="35">
        <f aca="true" t="shared" si="11" ref="B66:I67">B37</f>
        <v>3.86</v>
      </c>
      <c r="C66" s="35">
        <f t="shared" si="11"/>
        <v>2.88</v>
      </c>
      <c r="D66" s="35">
        <f t="shared" si="11"/>
        <v>2.51</v>
      </c>
      <c r="E66" s="35">
        <f t="shared" si="11"/>
        <v>3.22</v>
      </c>
      <c r="F66" s="35">
        <f t="shared" si="11"/>
        <v>2.7</v>
      </c>
      <c r="G66" s="35">
        <f t="shared" si="11"/>
        <v>3.06</v>
      </c>
      <c r="H66" s="35">
        <f t="shared" si="11"/>
        <v>4.02</v>
      </c>
      <c r="I66" s="35">
        <f t="shared" si="11"/>
        <v>5.21</v>
      </c>
      <c r="J66" s="18">
        <v>3.27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55" ht="15">
      <c r="A67" s="34" t="s">
        <v>231</v>
      </c>
      <c r="B67" s="35">
        <f t="shared" si="11"/>
        <v>24.1</v>
      </c>
      <c r="C67" s="35">
        <f t="shared" si="11"/>
        <v>28.64</v>
      </c>
      <c r="D67" s="35">
        <f t="shared" si="11"/>
        <v>23.96</v>
      </c>
      <c r="E67" s="35">
        <f t="shared" si="11"/>
        <v>26.1</v>
      </c>
      <c r="F67" s="35">
        <f t="shared" si="11"/>
        <v>27.44</v>
      </c>
      <c r="G67" s="35">
        <f t="shared" si="11"/>
        <v>28.46</v>
      </c>
      <c r="H67" s="35">
        <f t="shared" si="11"/>
        <v>23.77</v>
      </c>
      <c r="I67" s="35">
        <f t="shared" si="11"/>
        <v>20.17</v>
      </c>
      <c r="J67" s="18">
        <v>35.04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spans="1:55" ht="15">
      <c r="A68" s="67" t="s">
        <v>207</v>
      </c>
      <c r="B68" s="67" t="s">
        <v>207</v>
      </c>
      <c r="C68" s="67" t="s">
        <v>207</v>
      </c>
      <c r="D68" s="106" t="s">
        <v>207</v>
      </c>
      <c r="E68" s="106" t="s">
        <v>207</v>
      </c>
      <c r="F68" s="106" t="s">
        <v>207</v>
      </c>
      <c r="G68" s="106" t="s">
        <v>207</v>
      </c>
      <c r="H68" s="106" t="s">
        <v>207</v>
      </c>
      <c r="I68" s="106" t="s">
        <v>207</v>
      </c>
      <c r="J68" s="67" t="s">
        <v>207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69" spans="1:55" ht="15">
      <c r="A69" s="34" t="s">
        <v>241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spans="1:55" ht="15">
      <c r="A70" s="34" t="s">
        <v>0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spans="1:55" ht="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</row>
    <row r="72" spans="1:55" ht="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</row>
    <row r="73" spans="1:55" ht="1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</row>
    <row r="74" spans="1:55" ht="15">
      <c r="A74" s="34" t="s">
        <v>404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</row>
    <row r="75" spans="1:55" ht="15">
      <c r="A75" s="67" t="s">
        <v>207</v>
      </c>
      <c r="B75" s="67" t="s">
        <v>207</v>
      </c>
      <c r="C75" s="67" t="s">
        <v>207</v>
      </c>
      <c r="D75" s="67" t="s">
        <v>207</v>
      </c>
      <c r="E75" s="67" t="s">
        <v>207</v>
      </c>
      <c r="F75" s="67" t="s">
        <v>207</v>
      </c>
      <c r="G75" s="67" t="s">
        <v>207</v>
      </c>
      <c r="H75" s="67" t="s">
        <v>207</v>
      </c>
      <c r="I75" s="67" t="s">
        <v>207</v>
      </c>
      <c r="J75" s="67" t="s">
        <v>207</v>
      </c>
      <c r="K75" s="67" t="s">
        <v>207</v>
      </c>
      <c r="L75" s="67" t="s">
        <v>207</v>
      </c>
      <c r="M75" s="67" t="s">
        <v>207</v>
      </c>
      <c r="N75" s="67" t="s">
        <v>207</v>
      </c>
      <c r="O75" s="67" t="s">
        <v>207</v>
      </c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spans="1:55" ht="15">
      <c r="A76" s="34" t="s">
        <v>208</v>
      </c>
      <c r="B76" s="104">
        <v>1975</v>
      </c>
      <c r="C76" s="104">
        <v>1976</v>
      </c>
      <c r="D76" s="104">
        <v>1977</v>
      </c>
      <c r="E76" s="104">
        <v>1978</v>
      </c>
      <c r="F76" s="104">
        <v>1979</v>
      </c>
      <c r="G76" s="104">
        <v>1980</v>
      </c>
      <c r="H76" s="104">
        <v>1981</v>
      </c>
      <c r="I76" s="104">
        <v>1982</v>
      </c>
      <c r="J76" s="104">
        <v>1983</v>
      </c>
      <c r="K76" s="104">
        <v>1984</v>
      </c>
      <c r="L76" s="104">
        <v>1985</v>
      </c>
      <c r="M76" s="104">
        <v>1986</v>
      </c>
      <c r="N76" s="104">
        <v>1987</v>
      </c>
      <c r="O76" s="104">
        <v>1988</v>
      </c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</row>
    <row r="77" spans="1:55" ht="15">
      <c r="A77" s="67" t="s">
        <v>207</v>
      </c>
      <c r="B77" s="67" t="s">
        <v>207</v>
      </c>
      <c r="C77" s="67" t="s">
        <v>207</v>
      </c>
      <c r="D77" s="67" t="s">
        <v>207</v>
      </c>
      <c r="E77" s="67" t="s">
        <v>207</v>
      </c>
      <c r="F77" s="67" t="s">
        <v>207</v>
      </c>
      <c r="G77" s="67" t="s">
        <v>207</v>
      </c>
      <c r="H77" s="67" t="s">
        <v>207</v>
      </c>
      <c r="I77" s="67" t="s">
        <v>207</v>
      </c>
      <c r="J77" s="67" t="s">
        <v>207</v>
      </c>
      <c r="K77" s="67" t="s">
        <v>207</v>
      </c>
      <c r="L77" s="67" t="s">
        <v>207</v>
      </c>
      <c r="M77" s="67" t="s">
        <v>207</v>
      </c>
      <c r="N77" s="67" t="s">
        <v>207</v>
      </c>
      <c r="O77" s="67" t="s">
        <v>207</v>
      </c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</row>
    <row r="78" spans="1:55" ht="15">
      <c r="A78" s="18"/>
      <c r="B78" s="18"/>
      <c r="C78" s="18"/>
      <c r="D78" s="18"/>
      <c r="E78" s="18"/>
      <c r="F78" s="18"/>
      <c r="G78" s="34" t="s">
        <v>242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</row>
    <row r="79" spans="1:55" ht="15">
      <c r="A79" s="34" t="s">
        <v>210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</row>
    <row r="80" spans="1:55" ht="15">
      <c r="A80" s="34" t="s">
        <v>211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</row>
    <row r="81" spans="1:55" ht="15">
      <c r="A81" s="34" t="s">
        <v>212</v>
      </c>
      <c r="B81" s="35">
        <v>70.92</v>
      </c>
      <c r="C81" s="35">
        <v>50.27</v>
      </c>
      <c r="D81" s="35">
        <v>51.71</v>
      </c>
      <c r="E81" s="35">
        <v>62.85</v>
      </c>
      <c r="F81" s="35">
        <v>122</v>
      </c>
      <c r="G81" s="35">
        <v>87.23</v>
      </c>
      <c r="H81" s="35">
        <v>86.35</v>
      </c>
      <c r="I81" s="35">
        <v>83.93</v>
      </c>
      <c r="J81" s="35">
        <v>102.6</v>
      </c>
      <c r="K81" s="35">
        <v>80.04</v>
      </c>
      <c r="L81" s="35">
        <v>65.97</v>
      </c>
      <c r="M81" s="39">
        <v>39.45</v>
      </c>
      <c r="N81" s="39">
        <v>38.17</v>
      </c>
      <c r="O81" s="39">
        <v>65.37</v>
      </c>
      <c r="P81" s="18"/>
      <c r="Q81" s="18">
        <f>AVERAGE(B81:O81)</f>
        <v>71.91857142857143</v>
      </c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</row>
    <row r="82" spans="1:55" ht="15">
      <c r="A82" s="34" t="s">
        <v>243</v>
      </c>
      <c r="B82" s="35">
        <v>5.75</v>
      </c>
      <c r="C82" s="35">
        <v>5.71</v>
      </c>
      <c r="D82" s="35">
        <v>6.48</v>
      </c>
      <c r="E82" s="35">
        <v>5.43</v>
      </c>
      <c r="F82" s="35">
        <v>5.41</v>
      </c>
      <c r="G82" s="35">
        <v>5.42</v>
      </c>
      <c r="H82" s="35">
        <v>9.62</v>
      </c>
      <c r="I82" s="35">
        <v>9.51</v>
      </c>
      <c r="J82" s="35">
        <v>9.51</v>
      </c>
      <c r="K82" s="35">
        <v>9.35</v>
      </c>
      <c r="L82" s="35">
        <v>0.1</v>
      </c>
      <c r="M82" s="35">
        <v>0.09</v>
      </c>
      <c r="N82" s="35">
        <v>0.12</v>
      </c>
      <c r="O82" s="35">
        <v>0.11</v>
      </c>
      <c r="P82" s="18"/>
      <c r="Q82" s="18">
        <f>AVERAGE(B82:O82)</f>
        <v>5.186428571428571</v>
      </c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</row>
    <row r="83" spans="1:55" ht="15">
      <c r="A83" s="34" t="s">
        <v>214</v>
      </c>
      <c r="B83" s="35">
        <v>76.66</v>
      </c>
      <c r="C83" s="35">
        <v>55.99</v>
      </c>
      <c r="D83" s="35">
        <v>58.19</v>
      </c>
      <c r="E83" s="35">
        <v>68.29</v>
      </c>
      <c r="F83" s="35">
        <v>127.41</v>
      </c>
      <c r="G83" s="35">
        <v>92.65</v>
      </c>
      <c r="H83" s="35">
        <v>95.97</v>
      </c>
      <c r="I83" s="35">
        <v>93.44</v>
      </c>
      <c r="J83" s="35">
        <v>112.11</v>
      </c>
      <c r="K83" s="35">
        <v>89.39</v>
      </c>
      <c r="L83" s="35">
        <v>66.07</v>
      </c>
      <c r="M83" s="35">
        <v>39.54</v>
      </c>
      <c r="N83" s="35">
        <f>N81+N82</f>
        <v>38.29</v>
      </c>
      <c r="O83" s="35">
        <f>O81+O82</f>
        <v>65.48</v>
      </c>
      <c r="P83" s="18"/>
      <c r="Q83" s="18">
        <f>AVERAGE(B83:O83)</f>
        <v>77.10571428571427</v>
      </c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</row>
    <row r="84" spans="1:55" ht="1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spans="1:55" ht="15">
      <c r="A85" s="34" t="s">
        <v>215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86" spans="1:55" ht="15">
      <c r="A86" s="34" t="s">
        <v>216</v>
      </c>
      <c r="B86" s="35">
        <v>4.76</v>
      </c>
      <c r="C86" s="35">
        <v>4.64</v>
      </c>
      <c r="D86" s="35">
        <v>2.79</v>
      </c>
      <c r="E86" s="35">
        <v>3.02</v>
      </c>
      <c r="F86" s="35">
        <v>4.2</v>
      </c>
      <c r="G86" s="35">
        <v>5.39</v>
      </c>
      <c r="H86" s="35">
        <v>5.54</v>
      </c>
      <c r="I86" s="35">
        <v>5.3</v>
      </c>
      <c r="J86" s="35">
        <v>5.02</v>
      </c>
      <c r="K86" s="35">
        <v>4.08</v>
      </c>
      <c r="L86" s="35">
        <v>5.4</v>
      </c>
      <c r="M86" s="35">
        <v>5.73</v>
      </c>
      <c r="N86" s="35">
        <v>5.61</v>
      </c>
      <c r="O86" s="35">
        <v>4.66</v>
      </c>
      <c r="P86" s="18"/>
      <c r="Q86" s="18">
        <f aca="true" t="shared" si="12" ref="Q86:Q94">AVERAGE(B86:O86)</f>
        <v>4.724285714285713</v>
      </c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</row>
    <row r="87" spans="1:55" ht="15">
      <c r="A87" s="34" t="s">
        <v>217</v>
      </c>
      <c r="B87" s="35">
        <v>7.68</v>
      </c>
      <c r="C87" s="35">
        <v>9.78</v>
      </c>
      <c r="D87" s="35">
        <v>8.19</v>
      </c>
      <c r="E87" s="35">
        <v>6.2</v>
      </c>
      <c r="F87" s="35">
        <v>8.38</v>
      </c>
      <c r="G87" s="35">
        <v>12.45</v>
      </c>
      <c r="H87" s="35">
        <v>15.58</v>
      </c>
      <c r="I87" s="35">
        <v>15</v>
      </c>
      <c r="J87" s="35">
        <v>12.2</v>
      </c>
      <c r="K87" s="35">
        <v>15.52</v>
      </c>
      <c r="L87" s="35">
        <v>13.44</v>
      </c>
      <c r="M87" s="35">
        <v>11.87</v>
      </c>
      <c r="N87" s="35">
        <v>10.25</v>
      </c>
      <c r="O87" s="35">
        <v>11.95</v>
      </c>
      <c r="P87" s="18"/>
      <c r="Q87" s="18">
        <f t="shared" si="12"/>
        <v>11.320714285714285</v>
      </c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</row>
    <row r="88" spans="1:55" ht="15">
      <c r="A88" s="34" t="s">
        <v>218</v>
      </c>
      <c r="B88" s="35">
        <v>0.27</v>
      </c>
      <c r="C88" s="35">
        <v>1.34</v>
      </c>
      <c r="D88" s="35">
        <v>1.22</v>
      </c>
      <c r="E88" s="35">
        <v>1.62</v>
      </c>
      <c r="F88" s="35">
        <v>1.64</v>
      </c>
      <c r="G88" s="35">
        <v>1.75</v>
      </c>
      <c r="H88" s="35">
        <v>1.74</v>
      </c>
      <c r="I88" s="35">
        <v>1.86</v>
      </c>
      <c r="J88" s="35">
        <v>1.94</v>
      </c>
      <c r="K88" s="35">
        <v>1.98</v>
      </c>
      <c r="L88" s="35">
        <v>5.77</v>
      </c>
      <c r="M88" s="35">
        <v>5.88</v>
      </c>
      <c r="N88" s="35">
        <v>5.43</v>
      </c>
      <c r="O88" s="35">
        <v>5.44</v>
      </c>
      <c r="P88" s="18"/>
      <c r="Q88" s="18">
        <f t="shared" si="12"/>
        <v>2.7057142857142855</v>
      </c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</row>
    <row r="89" spans="1:55" ht="15">
      <c r="A89" s="34" t="s">
        <v>244</v>
      </c>
      <c r="B89" s="35">
        <v>2.3</v>
      </c>
      <c r="C89" s="35">
        <v>2.18</v>
      </c>
      <c r="D89" s="35">
        <v>2.9</v>
      </c>
      <c r="E89" s="35">
        <v>2.85</v>
      </c>
      <c r="F89" s="35">
        <v>3.64</v>
      </c>
      <c r="G89" s="35">
        <v>3.95</v>
      </c>
      <c r="H89" s="35">
        <v>7.7</v>
      </c>
      <c r="I89" s="35">
        <v>8.07</v>
      </c>
      <c r="J89" s="35">
        <v>8.43</v>
      </c>
      <c r="K89" s="35">
        <v>7.84</v>
      </c>
      <c r="L89" s="35">
        <v>4.29</v>
      </c>
      <c r="M89" s="35">
        <v>4.11</v>
      </c>
      <c r="N89" s="35">
        <v>3.89</v>
      </c>
      <c r="O89" s="35">
        <v>4.33</v>
      </c>
      <c r="P89" s="18"/>
      <c r="Q89" s="18">
        <f t="shared" si="12"/>
        <v>4.748571428571429</v>
      </c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</row>
    <row r="90" spans="1:55" ht="15">
      <c r="A90" s="34" t="s">
        <v>220</v>
      </c>
      <c r="B90" s="35">
        <v>5.31</v>
      </c>
      <c r="C90" s="35">
        <v>4.95</v>
      </c>
      <c r="D90" s="35">
        <v>6.55</v>
      </c>
      <c r="E90" s="35">
        <v>6.35</v>
      </c>
      <c r="F90" s="35">
        <v>9.58</v>
      </c>
      <c r="G90" s="35">
        <v>12.88</v>
      </c>
      <c r="H90" s="35">
        <v>14.6</v>
      </c>
      <c r="I90" s="35">
        <v>14.75</v>
      </c>
      <c r="J90" s="35">
        <v>14.3</v>
      </c>
      <c r="K90" s="35">
        <v>12.62</v>
      </c>
      <c r="L90" s="35">
        <v>14.53</v>
      </c>
      <c r="M90" s="35">
        <v>10.71</v>
      </c>
      <c r="N90" s="35">
        <v>10.99</v>
      </c>
      <c r="O90" s="35">
        <v>11.26</v>
      </c>
      <c r="P90" s="18"/>
      <c r="Q90" s="18">
        <f t="shared" si="12"/>
        <v>10.67</v>
      </c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</row>
    <row r="91" spans="1:55" ht="15">
      <c r="A91" s="34" t="s">
        <v>221</v>
      </c>
      <c r="B91" s="35">
        <v>5.64</v>
      </c>
      <c r="C91" s="35">
        <v>4.85</v>
      </c>
      <c r="D91" s="35">
        <v>5.97</v>
      </c>
      <c r="E91" s="35">
        <v>5.71</v>
      </c>
      <c r="F91" s="35">
        <v>6.61</v>
      </c>
      <c r="G91" s="35">
        <v>7.38</v>
      </c>
      <c r="H91" s="35">
        <v>6.97</v>
      </c>
      <c r="I91" s="35">
        <v>7.27</v>
      </c>
      <c r="J91" s="35">
        <v>7.92</v>
      </c>
      <c r="K91" s="35">
        <v>7.36</v>
      </c>
      <c r="L91" s="35">
        <v>6.45</v>
      </c>
      <c r="M91" s="35">
        <v>5.9</v>
      </c>
      <c r="N91" s="35">
        <v>5.86</v>
      </c>
      <c r="O91" s="35">
        <v>6.3</v>
      </c>
      <c r="P91" s="18"/>
      <c r="Q91" s="18">
        <f t="shared" si="12"/>
        <v>6.442142857142857</v>
      </c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</row>
    <row r="92" spans="1:55" ht="15">
      <c r="A92" s="34" t="s">
        <v>222</v>
      </c>
      <c r="B92" s="35">
        <v>1.99</v>
      </c>
      <c r="C92" s="35">
        <v>2.12</v>
      </c>
      <c r="D92" s="35">
        <v>2.5</v>
      </c>
      <c r="E92" s="35">
        <v>2.63</v>
      </c>
      <c r="F92" s="35">
        <v>2.86</v>
      </c>
      <c r="G92" s="35">
        <v>3.1</v>
      </c>
      <c r="H92" s="35">
        <v>2.77</v>
      </c>
      <c r="I92" s="35">
        <v>2.92</v>
      </c>
      <c r="J92" s="35">
        <v>3.01</v>
      </c>
      <c r="K92" s="35">
        <v>3.02</v>
      </c>
      <c r="L92" s="35">
        <v>2.51</v>
      </c>
      <c r="M92" s="35">
        <v>2.49</v>
      </c>
      <c r="N92" s="35">
        <v>2.55</v>
      </c>
      <c r="O92" s="35">
        <v>2.62</v>
      </c>
      <c r="P92" s="18"/>
      <c r="Q92" s="18">
        <f t="shared" si="12"/>
        <v>2.649285714285714</v>
      </c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</row>
    <row r="93" spans="1:55" ht="15">
      <c r="A93" s="34" t="s">
        <v>245</v>
      </c>
      <c r="B93" s="35">
        <v>0.06</v>
      </c>
      <c r="C93" s="35">
        <v>0.06</v>
      </c>
      <c r="D93" s="35">
        <v>0.06</v>
      </c>
      <c r="E93" s="35">
        <v>0.06</v>
      </c>
      <c r="F93" s="35">
        <v>0.06</v>
      </c>
      <c r="G93" s="39">
        <v>0.07</v>
      </c>
      <c r="H93" s="39">
        <v>0.01</v>
      </c>
      <c r="I93" s="39">
        <v>0.01</v>
      </c>
      <c r="J93" s="39">
        <v>0.02</v>
      </c>
      <c r="K93" s="39">
        <v>0.01</v>
      </c>
      <c r="L93" s="39">
        <v>0.47</v>
      </c>
      <c r="M93" s="39">
        <v>0.48</v>
      </c>
      <c r="N93" s="39">
        <v>0.45</v>
      </c>
      <c r="O93" s="39">
        <v>0.44</v>
      </c>
      <c r="P93" s="18"/>
      <c r="Q93" s="18">
        <f t="shared" si="12"/>
        <v>0.16142857142857145</v>
      </c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</row>
    <row r="94" spans="1:55" ht="15">
      <c r="A94" s="34" t="s">
        <v>224</v>
      </c>
      <c r="B94" s="35">
        <v>28.01</v>
      </c>
      <c r="C94" s="35">
        <v>29.92</v>
      </c>
      <c r="D94" s="35">
        <v>30.18</v>
      </c>
      <c r="E94" s="35">
        <v>28.44</v>
      </c>
      <c r="F94" s="35">
        <v>36.97</v>
      </c>
      <c r="G94" s="35">
        <v>46.97</v>
      </c>
      <c r="H94" s="35">
        <v>54.91</v>
      </c>
      <c r="I94" s="35">
        <v>55.18</v>
      </c>
      <c r="J94" s="35">
        <v>52.84</v>
      </c>
      <c r="K94" s="35">
        <v>52.43</v>
      </c>
      <c r="L94" s="35">
        <v>52.86</v>
      </c>
      <c r="M94" s="35">
        <v>47.17</v>
      </c>
      <c r="N94" s="35">
        <f>SUM(N86:N93)</f>
        <v>45.03</v>
      </c>
      <c r="O94" s="35">
        <f>SUM(O86:O93)</f>
        <v>46.99999999999999</v>
      </c>
      <c r="P94" s="18"/>
      <c r="Q94" s="18">
        <f t="shared" si="12"/>
        <v>43.42214285714285</v>
      </c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</row>
    <row r="95" spans="1:55" ht="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</row>
    <row r="96" spans="1:55" ht="15">
      <c r="A96" s="34" t="s">
        <v>225</v>
      </c>
      <c r="B96" s="35">
        <v>2.65</v>
      </c>
      <c r="C96" s="35">
        <v>2.82</v>
      </c>
      <c r="D96" s="35">
        <v>3.01</v>
      </c>
      <c r="E96" s="35">
        <v>4.3</v>
      </c>
      <c r="F96" s="35">
        <v>4.37</v>
      </c>
      <c r="G96" s="35">
        <v>5.95</v>
      </c>
      <c r="H96" s="35">
        <v>5.63</v>
      </c>
      <c r="I96" s="35">
        <v>4.91</v>
      </c>
      <c r="J96" s="35">
        <v>4.8</v>
      </c>
      <c r="K96" s="35">
        <v>5</v>
      </c>
      <c r="L96" s="35">
        <v>3.38</v>
      </c>
      <c r="M96" s="39">
        <v>3.58</v>
      </c>
      <c r="N96" s="35">
        <v>2.55</v>
      </c>
      <c r="O96" s="35">
        <v>4.12</v>
      </c>
      <c r="P96" s="18"/>
      <c r="Q96" s="18">
        <f>AVERAGE(B96:O96)</f>
        <v>4.076428571428571</v>
      </c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</row>
    <row r="97" spans="1:55" ht="15">
      <c r="A97" s="34" t="s">
        <v>226</v>
      </c>
      <c r="B97" s="35">
        <v>4.15</v>
      </c>
      <c r="C97" s="35">
        <v>4.22</v>
      </c>
      <c r="D97" s="35">
        <v>4.79</v>
      </c>
      <c r="E97" s="35">
        <v>4.96</v>
      </c>
      <c r="F97" s="35">
        <v>5.56</v>
      </c>
      <c r="G97" s="35">
        <v>4.33</v>
      </c>
      <c r="H97" s="35">
        <v>3.97</v>
      </c>
      <c r="I97" s="35">
        <v>3.85</v>
      </c>
      <c r="J97" s="35">
        <v>4.08</v>
      </c>
      <c r="K97" s="35">
        <v>4.16</v>
      </c>
      <c r="L97" s="35">
        <v>4.85</v>
      </c>
      <c r="M97" s="35">
        <v>4.92</v>
      </c>
      <c r="N97" s="35">
        <v>5.03</v>
      </c>
      <c r="O97" s="35">
        <v>5.16</v>
      </c>
      <c r="P97" s="18"/>
      <c r="Q97" s="18">
        <f>AVERAGE(B97:O97)</f>
        <v>4.573571428571428</v>
      </c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8" spans="1:55" ht="15">
      <c r="A98" s="34" t="s">
        <v>227</v>
      </c>
      <c r="B98" s="35">
        <v>8.75</v>
      </c>
      <c r="C98" s="35">
        <v>8.48</v>
      </c>
      <c r="D98" s="35">
        <v>8.33</v>
      </c>
      <c r="E98" s="35">
        <v>8.7</v>
      </c>
      <c r="F98" s="35">
        <v>9.47</v>
      </c>
      <c r="G98" s="39">
        <v>10.35</v>
      </c>
      <c r="H98" s="39">
        <v>13.63</v>
      </c>
      <c r="I98" s="39">
        <v>11.82</v>
      </c>
      <c r="J98" s="39">
        <v>11.58</v>
      </c>
      <c r="K98" s="39">
        <v>10.84</v>
      </c>
      <c r="L98" s="39">
        <v>6.49</v>
      </c>
      <c r="M98" s="39">
        <v>5.91</v>
      </c>
      <c r="N98" s="39">
        <v>4.31</v>
      </c>
      <c r="O98" s="35">
        <v>5.6</v>
      </c>
      <c r="P98" s="18"/>
      <c r="Q98" s="18">
        <f>AVERAGE(B98:O98)</f>
        <v>8.875714285714285</v>
      </c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</row>
    <row r="99" spans="1:55" ht="15">
      <c r="A99" s="34" t="s">
        <v>228</v>
      </c>
      <c r="B99" s="35">
        <v>15.55</v>
      </c>
      <c r="C99" s="35">
        <v>15.52</v>
      </c>
      <c r="D99" s="35">
        <v>16.12</v>
      </c>
      <c r="E99" s="35">
        <v>17.96</v>
      </c>
      <c r="F99" s="35">
        <v>19.39</v>
      </c>
      <c r="G99" s="35">
        <v>20.63</v>
      </c>
      <c r="H99" s="35">
        <v>23.23</v>
      </c>
      <c r="I99" s="35">
        <v>20.58</v>
      </c>
      <c r="J99" s="35">
        <v>20.46</v>
      </c>
      <c r="K99" s="35">
        <v>20</v>
      </c>
      <c r="L99" s="35">
        <v>14.72</v>
      </c>
      <c r="M99" s="35">
        <v>14.41</v>
      </c>
      <c r="N99" s="35">
        <f>SUM(N96:N98)</f>
        <v>11.89</v>
      </c>
      <c r="O99" s="35">
        <f>SUM(O96:O98)</f>
        <v>14.88</v>
      </c>
      <c r="P99" s="18"/>
      <c r="Q99" s="18">
        <f>AVERAGE(B99:O99)</f>
        <v>17.524285714285718</v>
      </c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0" spans="1:55" ht="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</row>
    <row r="101" spans="1:55" ht="15">
      <c r="A101" s="34" t="s">
        <v>229</v>
      </c>
      <c r="B101" s="35">
        <v>43.56</v>
      </c>
      <c r="C101" s="35">
        <v>45.44</v>
      </c>
      <c r="D101" s="35">
        <v>46.3</v>
      </c>
      <c r="E101" s="35">
        <v>46.4</v>
      </c>
      <c r="F101" s="35">
        <v>56.36</v>
      </c>
      <c r="G101" s="35">
        <v>67.6</v>
      </c>
      <c r="H101" s="35">
        <v>78.14</v>
      </c>
      <c r="I101" s="35">
        <v>75.76</v>
      </c>
      <c r="J101" s="35">
        <v>73.3</v>
      </c>
      <c r="K101" s="35">
        <v>72.43</v>
      </c>
      <c r="L101" s="35">
        <v>67.57</v>
      </c>
      <c r="M101" s="35">
        <v>61.58</v>
      </c>
      <c r="N101" s="35">
        <f>N94+N99</f>
        <v>56.92</v>
      </c>
      <c r="O101" s="35">
        <f>O94+O99</f>
        <v>61.879999999999995</v>
      </c>
      <c r="P101" s="18"/>
      <c r="Q101" s="18">
        <f>AVERAGE(B101:O101)</f>
        <v>60.94571428571428</v>
      </c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2" spans="1:55" ht="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</row>
    <row r="103" spans="1:55" ht="15">
      <c r="A103" s="34" t="s">
        <v>246</v>
      </c>
      <c r="B103" s="35">
        <v>33.1</v>
      </c>
      <c r="C103" s="35">
        <v>10.55</v>
      </c>
      <c r="D103" s="35">
        <v>11.89</v>
      </c>
      <c r="E103" s="35">
        <v>21.89</v>
      </c>
      <c r="F103" s="35">
        <v>71.05</v>
      </c>
      <c r="G103" s="35">
        <v>25.05</v>
      </c>
      <c r="H103" s="35">
        <v>17.83</v>
      </c>
      <c r="I103" s="35">
        <v>17.68</v>
      </c>
      <c r="J103" s="35">
        <v>38.81</v>
      </c>
      <c r="K103" s="35">
        <v>16.96</v>
      </c>
      <c r="L103" s="35">
        <v>-1.5</v>
      </c>
      <c r="M103" s="35">
        <v>-22.04</v>
      </c>
      <c r="N103" s="35">
        <f>N83-N101</f>
        <v>-18.630000000000003</v>
      </c>
      <c r="O103" s="35">
        <f>O83-O101</f>
        <v>3.6000000000000085</v>
      </c>
      <c r="P103" s="18"/>
      <c r="Q103" s="18">
        <f>AVERAGE(B103:O103)</f>
        <v>16.16</v>
      </c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4" spans="1:55" ht="15">
      <c r="A104" s="67" t="s">
        <v>207</v>
      </c>
      <c r="B104" s="67" t="s">
        <v>207</v>
      </c>
      <c r="C104" s="67" t="s">
        <v>207</v>
      </c>
      <c r="D104" s="67" t="s">
        <v>207</v>
      </c>
      <c r="E104" s="67" t="s">
        <v>207</v>
      </c>
      <c r="F104" s="67" t="s">
        <v>207</v>
      </c>
      <c r="G104" s="67" t="s">
        <v>207</v>
      </c>
      <c r="H104" s="67" t="s">
        <v>207</v>
      </c>
      <c r="I104" s="67" t="s">
        <v>207</v>
      </c>
      <c r="J104" s="67" t="s">
        <v>207</v>
      </c>
      <c r="K104" s="67" t="s">
        <v>207</v>
      </c>
      <c r="L104" s="67" t="s">
        <v>207</v>
      </c>
      <c r="M104" s="67" t="s">
        <v>207</v>
      </c>
      <c r="N104" s="67" t="s">
        <v>207</v>
      </c>
      <c r="O104" s="67" t="s">
        <v>207</v>
      </c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</row>
    <row r="105" spans="1:55" ht="15">
      <c r="A105" s="34" t="s">
        <v>230</v>
      </c>
      <c r="B105" s="35">
        <v>3.38</v>
      </c>
      <c r="C105" s="35">
        <v>2.72</v>
      </c>
      <c r="D105" s="35">
        <v>2.28</v>
      </c>
      <c r="E105" s="35">
        <v>3.01</v>
      </c>
      <c r="F105" s="35">
        <v>3.84</v>
      </c>
      <c r="G105" s="35">
        <v>3.56</v>
      </c>
      <c r="H105" s="35">
        <v>3.72</v>
      </c>
      <c r="I105" s="35">
        <v>3.45</v>
      </c>
      <c r="J105" s="35">
        <v>3.32</v>
      </c>
      <c r="K105" s="35">
        <v>3.36</v>
      </c>
      <c r="L105" s="35">
        <v>2.94</v>
      </c>
      <c r="M105" s="35">
        <v>2.28</v>
      </c>
      <c r="N105" s="35">
        <v>2.32</v>
      </c>
      <c r="O105" s="35">
        <v>3.35</v>
      </c>
      <c r="P105" s="18"/>
      <c r="Q105" s="18">
        <f>AVERAGE(B105:O105)</f>
        <v>3.1092857142857144</v>
      </c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6" spans="1:55" ht="15">
      <c r="A106" s="34" t="s">
        <v>231</v>
      </c>
      <c r="B106" s="35">
        <v>21</v>
      </c>
      <c r="C106" s="35">
        <v>18.5</v>
      </c>
      <c r="D106" s="35">
        <v>22.7</v>
      </c>
      <c r="E106" s="35">
        <v>20.9</v>
      </c>
      <c r="F106" s="35">
        <v>31.8</v>
      </c>
      <c r="G106" s="35">
        <v>24.51</v>
      </c>
      <c r="H106" s="35">
        <v>23.18</v>
      </c>
      <c r="I106" s="35">
        <v>24.36</v>
      </c>
      <c r="J106" s="35">
        <v>30.92</v>
      </c>
      <c r="K106" s="35">
        <v>23.8</v>
      </c>
      <c r="L106" s="35">
        <v>22.41</v>
      </c>
      <c r="M106" s="35">
        <v>17.3</v>
      </c>
      <c r="N106" s="39">
        <v>16.46</v>
      </c>
      <c r="O106" s="39">
        <v>19.49</v>
      </c>
      <c r="P106" s="18"/>
      <c r="Q106" s="18">
        <f>AVERAGE(B106:O106)</f>
        <v>22.666428571428575</v>
      </c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</row>
    <row r="107" spans="1:55" ht="15">
      <c r="A107" s="67" t="s">
        <v>207</v>
      </c>
      <c r="B107" s="67" t="s">
        <v>207</v>
      </c>
      <c r="C107" s="67" t="s">
        <v>207</v>
      </c>
      <c r="D107" s="67" t="s">
        <v>207</v>
      </c>
      <c r="E107" s="67" t="s">
        <v>207</v>
      </c>
      <c r="F107" s="67" t="s">
        <v>207</v>
      </c>
      <c r="G107" s="67" t="s">
        <v>207</v>
      </c>
      <c r="H107" s="67" t="s">
        <v>207</v>
      </c>
      <c r="I107" s="67" t="s">
        <v>207</v>
      </c>
      <c r="J107" s="67" t="s">
        <v>207</v>
      </c>
      <c r="K107" s="67" t="s">
        <v>207</v>
      </c>
      <c r="L107" s="67" t="s">
        <v>207</v>
      </c>
      <c r="M107" s="67" t="s">
        <v>207</v>
      </c>
      <c r="N107" s="67" t="s">
        <v>207</v>
      </c>
      <c r="O107" s="67" t="s">
        <v>207</v>
      </c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8" spans="1:55" ht="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</row>
    <row r="109" spans="1:55" ht="1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</row>
    <row r="110" spans="1:55" ht="15">
      <c r="A110" s="34" t="s">
        <v>403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</row>
    <row r="111" spans="1:55" ht="15">
      <c r="A111" s="67" t="s">
        <v>207</v>
      </c>
      <c r="B111" s="67" t="s">
        <v>207</v>
      </c>
      <c r="C111" s="67" t="s">
        <v>207</v>
      </c>
      <c r="D111" s="67" t="s">
        <v>207</v>
      </c>
      <c r="E111" s="67" t="s">
        <v>207</v>
      </c>
      <c r="F111" s="67" t="s">
        <v>207</v>
      </c>
      <c r="G111" s="67" t="s">
        <v>207</v>
      </c>
      <c r="H111" s="67" t="s">
        <v>207</v>
      </c>
      <c r="I111" s="67" t="s">
        <v>207</v>
      </c>
      <c r="J111" s="67" t="s">
        <v>207</v>
      </c>
      <c r="K111" s="67" t="s">
        <v>207</v>
      </c>
      <c r="L111" s="67" t="s">
        <v>207</v>
      </c>
      <c r="M111" s="67" t="s">
        <v>207</v>
      </c>
      <c r="N111" s="67" t="s">
        <v>207</v>
      </c>
      <c r="O111" s="67" t="s">
        <v>207</v>
      </c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</row>
    <row r="112" spans="1:55" ht="15">
      <c r="A112" s="34" t="s">
        <v>208</v>
      </c>
      <c r="B112" s="104">
        <v>1975</v>
      </c>
      <c r="C112" s="104">
        <v>1976</v>
      </c>
      <c r="D112" s="104">
        <v>1977</v>
      </c>
      <c r="E112" s="104">
        <v>1978</v>
      </c>
      <c r="F112" s="104">
        <v>1979</v>
      </c>
      <c r="G112" s="104">
        <v>1980</v>
      </c>
      <c r="H112" s="104">
        <v>1981</v>
      </c>
      <c r="I112" s="104">
        <v>1982</v>
      </c>
      <c r="J112" s="104">
        <v>1983</v>
      </c>
      <c r="K112" s="104">
        <v>1984</v>
      </c>
      <c r="L112" s="104">
        <v>1985</v>
      </c>
      <c r="M112" s="104">
        <v>1986</v>
      </c>
      <c r="N112" s="104">
        <v>1987</v>
      </c>
      <c r="O112" s="104">
        <v>1988</v>
      </c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</row>
    <row r="113" spans="1:55" ht="15">
      <c r="A113" s="67" t="s">
        <v>207</v>
      </c>
      <c r="B113" s="67" t="s">
        <v>207</v>
      </c>
      <c r="C113" s="67" t="s">
        <v>207</v>
      </c>
      <c r="D113" s="67" t="s">
        <v>207</v>
      </c>
      <c r="E113" s="67" t="s">
        <v>207</v>
      </c>
      <c r="F113" s="67" t="s">
        <v>207</v>
      </c>
      <c r="G113" s="67" t="s">
        <v>207</v>
      </c>
      <c r="H113" s="67" t="s">
        <v>207</v>
      </c>
      <c r="I113" s="67" t="s">
        <v>207</v>
      </c>
      <c r="J113" s="67" t="s">
        <v>207</v>
      </c>
      <c r="K113" s="67" t="s">
        <v>207</v>
      </c>
      <c r="L113" s="67" t="s">
        <v>207</v>
      </c>
      <c r="M113" s="67" t="s">
        <v>207</v>
      </c>
      <c r="N113" s="67" t="s">
        <v>207</v>
      </c>
      <c r="O113" s="67" t="s">
        <v>207</v>
      </c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</row>
    <row r="114" spans="1:55" ht="15">
      <c r="A114" s="18"/>
      <c r="B114" s="18"/>
      <c r="C114" s="18"/>
      <c r="D114" s="18"/>
      <c r="E114" s="18"/>
      <c r="F114" s="18"/>
      <c r="G114" s="34" t="s">
        <v>242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</row>
    <row r="115" spans="1:55" ht="15">
      <c r="A115" s="34" t="s">
        <v>210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</row>
    <row r="116" spans="1:55" ht="15">
      <c r="A116" s="34" t="s">
        <v>211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</row>
    <row r="117" spans="1:55" ht="15">
      <c r="A117" s="34" t="s">
        <v>212</v>
      </c>
      <c r="B117" s="35">
        <v>70.92</v>
      </c>
      <c r="C117" s="35">
        <v>50.27</v>
      </c>
      <c r="D117" s="35">
        <v>51.71</v>
      </c>
      <c r="E117" s="35">
        <v>62.85</v>
      </c>
      <c r="F117" s="35">
        <v>122</v>
      </c>
      <c r="G117" s="35">
        <v>87.23</v>
      </c>
      <c r="H117" s="35">
        <v>86.35</v>
      </c>
      <c r="I117" s="35">
        <v>83.93</v>
      </c>
      <c r="J117" s="35">
        <v>102.6</v>
      </c>
      <c r="K117" s="35">
        <v>80.04</v>
      </c>
      <c r="L117" s="35">
        <v>65.97</v>
      </c>
      <c r="M117" s="39">
        <v>39.45</v>
      </c>
      <c r="N117" s="39">
        <f aca="true" t="shared" si="13" ref="N117:O119">N81</f>
        <v>38.17</v>
      </c>
      <c r="O117" s="39">
        <f t="shared" si="13"/>
        <v>65.37</v>
      </c>
      <c r="P117" s="18"/>
      <c r="Q117" s="18">
        <f>AVERAGE(B117:O117)</f>
        <v>71.91857142857143</v>
      </c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</row>
    <row r="118" spans="1:55" ht="15">
      <c r="A118" s="34" t="s">
        <v>247</v>
      </c>
      <c r="B118" s="35">
        <v>5.75</v>
      </c>
      <c r="C118" s="35">
        <v>5.71</v>
      </c>
      <c r="D118" s="35">
        <v>6.48</v>
      </c>
      <c r="E118" s="35">
        <v>5.43</v>
      </c>
      <c r="F118" s="35">
        <v>5.41</v>
      </c>
      <c r="G118" s="35">
        <v>5.42</v>
      </c>
      <c r="H118" s="35">
        <v>9.62</v>
      </c>
      <c r="I118" s="35">
        <v>9.51</v>
      </c>
      <c r="J118" s="35">
        <v>9.51</v>
      </c>
      <c r="K118" s="35">
        <v>9.35</v>
      </c>
      <c r="L118" s="35">
        <v>0.1</v>
      </c>
      <c r="M118" s="35">
        <v>0.09</v>
      </c>
      <c r="N118" s="39">
        <f t="shared" si="13"/>
        <v>0.12</v>
      </c>
      <c r="O118" s="39">
        <f t="shared" si="13"/>
        <v>0.11</v>
      </c>
      <c r="P118" s="18"/>
      <c r="Q118" s="18">
        <f>AVERAGE(B118:O118)</f>
        <v>5.186428571428571</v>
      </c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</row>
    <row r="119" spans="1:55" ht="15">
      <c r="A119" s="34" t="s">
        <v>214</v>
      </c>
      <c r="B119" s="35">
        <v>76.66</v>
      </c>
      <c r="C119" s="35">
        <v>55.99</v>
      </c>
      <c r="D119" s="35">
        <v>58.19</v>
      </c>
      <c r="E119" s="35">
        <v>68.29</v>
      </c>
      <c r="F119" s="35">
        <v>127.41</v>
      </c>
      <c r="G119" s="35">
        <v>92.65</v>
      </c>
      <c r="H119" s="35">
        <v>95.97</v>
      </c>
      <c r="I119" s="35">
        <v>93.44</v>
      </c>
      <c r="J119" s="35">
        <v>112.11</v>
      </c>
      <c r="K119" s="35">
        <v>89.39</v>
      </c>
      <c r="L119" s="35">
        <v>66.07</v>
      </c>
      <c r="M119" s="35">
        <v>39.54</v>
      </c>
      <c r="N119" s="39">
        <f t="shared" si="13"/>
        <v>38.29</v>
      </c>
      <c r="O119" s="39">
        <f t="shared" si="13"/>
        <v>65.48</v>
      </c>
      <c r="P119" s="18"/>
      <c r="Q119" s="18">
        <f>AVERAGE(B119:O119)</f>
        <v>77.10571428571427</v>
      </c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</row>
    <row r="120" spans="1:55" ht="1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</row>
    <row r="121" spans="1:55" ht="15">
      <c r="A121" s="34" t="s">
        <v>232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</row>
    <row r="122" spans="1:55" ht="15">
      <c r="A122" s="34" t="s">
        <v>233</v>
      </c>
      <c r="B122" s="35">
        <v>28.01</v>
      </c>
      <c r="C122" s="35">
        <v>29.92</v>
      </c>
      <c r="D122" s="35">
        <v>30.18</v>
      </c>
      <c r="E122" s="35">
        <v>28.44</v>
      </c>
      <c r="F122" s="35">
        <v>36.97</v>
      </c>
      <c r="G122" s="35">
        <v>46.97</v>
      </c>
      <c r="H122" s="35">
        <v>54.91</v>
      </c>
      <c r="I122" s="35">
        <v>55.18</v>
      </c>
      <c r="J122" s="35">
        <v>52.84</v>
      </c>
      <c r="K122" s="35">
        <v>52.43</v>
      </c>
      <c r="L122" s="35">
        <v>52.86</v>
      </c>
      <c r="M122" s="35">
        <v>47.17</v>
      </c>
      <c r="N122" s="35">
        <f>N94</f>
        <v>45.03</v>
      </c>
      <c r="O122" s="35">
        <f>O94</f>
        <v>46.99999999999999</v>
      </c>
      <c r="P122" s="18"/>
      <c r="Q122" s="18">
        <f aca="true" t="shared" si="14" ref="Q122:Q130">AVERAGE(B122:O122)</f>
        <v>43.42214285714285</v>
      </c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</row>
    <row r="123" spans="1:55" ht="15">
      <c r="A123" s="34" t="s">
        <v>225</v>
      </c>
      <c r="B123" s="35">
        <v>2.65</v>
      </c>
      <c r="C123" s="35">
        <v>2.82</v>
      </c>
      <c r="D123" s="35">
        <v>3.01</v>
      </c>
      <c r="E123" s="35">
        <v>4.3</v>
      </c>
      <c r="F123" s="35">
        <v>4.37</v>
      </c>
      <c r="G123" s="35">
        <v>5.95</v>
      </c>
      <c r="H123" s="35">
        <v>5.63</v>
      </c>
      <c r="I123" s="35">
        <v>4.91</v>
      </c>
      <c r="J123" s="35">
        <v>4.8</v>
      </c>
      <c r="K123" s="35">
        <v>5</v>
      </c>
      <c r="L123" s="35">
        <v>3.38</v>
      </c>
      <c r="M123" s="35">
        <v>3.58</v>
      </c>
      <c r="N123" s="35">
        <f>N96</f>
        <v>2.55</v>
      </c>
      <c r="O123" s="35">
        <f>O96</f>
        <v>4.12</v>
      </c>
      <c r="P123" s="18"/>
      <c r="Q123" s="18">
        <f t="shared" si="14"/>
        <v>4.076428571428571</v>
      </c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</row>
    <row r="124" spans="1:55" ht="15">
      <c r="A124" s="34" t="s">
        <v>226</v>
      </c>
      <c r="B124" s="35">
        <v>4.15</v>
      </c>
      <c r="C124" s="35">
        <v>4.22</v>
      </c>
      <c r="D124" s="35">
        <v>4.79</v>
      </c>
      <c r="E124" s="35">
        <v>4.96</v>
      </c>
      <c r="F124" s="35">
        <v>5.56</v>
      </c>
      <c r="G124" s="35">
        <v>4.33</v>
      </c>
      <c r="H124" s="35">
        <v>3.97</v>
      </c>
      <c r="I124" s="35">
        <v>3.85</v>
      </c>
      <c r="J124" s="35">
        <v>4.08</v>
      </c>
      <c r="K124" s="35">
        <v>4.16</v>
      </c>
      <c r="L124" s="35">
        <v>4.85</v>
      </c>
      <c r="M124" s="35">
        <v>4.92</v>
      </c>
      <c r="N124" s="35">
        <f>N97</f>
        <v>5.03</v>
      </c>
      <c r="O124" s="35">
        <f>O97</f>
        <v>5.16</v>
      </c>
      <c r="P124" s="18"/>
      <c r="Q124" s="18">
        <f t="shared" si="14"/>
        <v>4.573571428571428</v>
      </c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</row>
    <row r="125" spans="1:55" ht="15">
      <c r="A125" s="34" t="s">
        <v>234</v>
      </c>
      <c r="B125" s="35">
        <v>9.6</v>
      </c>
      <c r="C125" s="35">
        <v>10.81</v>
      </c>
      <c r="D125" s="35">
        <v>11.98</v>
      </c>
      <c r="E125" s="35">
        <v>12.38</v>
      </c>
      <c r="F125" s="35">
        <v>14.82</v>
      </c>
      <c r="G125" s="35">
        <v>16.44</v>
      </c>
      <c r="H125" s="35">
        <v>15.61</v>
      </c>
      <c r="I125" s="35">
        <v>16.33</v>
      </c>
      <c r="J125" s="35">
        <v>17.87</v>
      </c>
      <c r="K125" s="35">
        <v>16.14</v>
      </c>
      <c r="L125" s="35">
        <v>17.58</v>
      </c>
      <c r="M125" s="35">
        <v>17.3</v>
      </c>
      <c r="N125" s="35">
        <v>17.03</v>
      </c>
      <c r="O125" s="35">
        <v>18.14</v>
      </c>
      <c r="P125" s="18"/>
      <c r="Q125" s="18">
        <f t="shared" si="14"/>
        <v>15.145000000000001</v>
      </c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6" spans="1:55" ht="15">
      <c r="A126" s="34" t="s">
        <v>235</v>
      </c>
      <c r="B126" s="35">
        <v>0.97</v>
      </c>
      <c r="C126" s="35">
        <v>0.98</v>
      </c>
      <c r="D126" s="35">
        <v>0.91</v>
      </c>
      <c r="E126" s="35">
        <v>1.29</v>
      </c>
      <c r="F126" s="35">
        <v>2.19</v>
      </c>
      <c r="G126" s="35">
        <v>3.28</v>
      </c>
      <c r="H126" s="35">
        <v>3.92</v>
      </c>
      <c r="I126" s="35">
        <v>3.14</v>
      </c>
      <c r="J126" s="35">
        <v>2.34</v>
      </c>
      <c r="K126" s="35">
        <v>2.61</v>
      </c>
      <c r="L126" s="35">
        <v>2.5</v>
      </c>
      <c r="M126" s="35">
        <v>1.63</v>
      </c>
      <c r="N126" s="35">
        <v>1.75</v>
      </c>
      <c r="O126" s="35">
        <v>2.05</v>
      </c>
      <c r="P126" s="18"/>
      <c r="Q126" s="18">
        <f t="shared" si="14"/>
        <v>2.111428571428571</v>
      </c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</row>
    <row r="127" spans="1:55" ht="15">
      <c r="A127" s="34" t="s">
        <v>236</v>
      </c>
      <c r="B127" s="35">
        <v>2.47</v>
      </c>
      <c r="C127" s="35">
        <v>2.61</v>
      </c>
      <c r="D127" s="35">
        <v>2.58</v>
      </c>
      <c r="E127" s="35">
        <v>2.49</v>
      </c>
      <c r="F127" s="35">
        <v>2.93</v>
      </c>
      <c r="G127" s="35">
        <v>3.18</v>
      </c>
      <c r="H127" s="35">
        <v>2.48</v>
      </c>
      <c r="I127" s="35">
        <v>2.49</v>
      </c>
      <c r="J127" s="35">
        <v>2.49</v>
      </c>
      <c r="K127" s="35">
        <v>2.88</v>
      </c>
      <c r="L127" s="35">
        <v>3.27</v>
      </c>
      <c r="M127" s="35">
        <v>3.05</v>
      </c>
      <c r="N127" s="35">
        <v>2.95</v>
      </c>
      <c r="O127" s="35">
        <v>3.72</v>
      </c>
      <c r="P127" s="18"/>
      <c r="Q127" s="18">
        <f t="shared" si="14"/>
        <v>2.8278571428571433</v>
      </c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</row>
    <row r="128" spans="1:55" ht="15">
      <c r="A128" s="34" t="s">
        <v>237</v>
      </c>
      <c r="B128" s="35">
        <v>13.99</v>
      </c>
      <c r="C128" s="35">
        <v>9.55</v>
      </c>
      <c r="D128" s="35">
        <v>9.79</v>
      </c>
      <c r="E128" s="35">
        <v>14.47</v>
      </c>
      <c r="F128" s="35">
        <v>28.67</v>
      </c>
      <c r="G128" s="35">
        <v>19.65</v>
      </c>
      <c r="H128" s="35">
        <v>21.62</v>
      </c>
      <c r="I128" s="35">
        <v>20.58</v>
      </c>
      <c r="J128" s="35">
        <v>25.28</v>
      </c>
      <c r="K128" s="35">
        <v>19.82</v>
      </c>
      <c r="L128" s="35">
        <v>22.03</v>
      </c>
      <c r="M128" s="35">
        <v>13.85</v>
      </c>
      <c r="N128" s="35">
        <v>13.63</v>
      </c>
      <c r="O128" s="35">
        <v>21.33</v>
      </c>
      <c r="P128" s="18"/>
      <c r="Q128" s="18">
        <f t="shared" si="14"/>
        <v>18.16142857142857</v>
      </c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</row>
    <row r="129" spans="1:55" ht="15">
      <c r="A129" s="34" t="s">
        <v>238</v>
      </c>
      <c r="B129" s="35">
        <v>4.41</v>
      </c>
      <c r="C129" s="35">
        <v>4.71</v>
      </c>
      <c r="D129" s="35">
        <v>5.57</v>
      </c>
      <c r="E129" s="35">
        <v>5.85</v>
      </c>
      <c r="F129" s="35">
        <v>6.36</v>
      </c>
      <c r="G129" s="35">
        <v>6.9</v>
      </c>
      <c r="H129" s="35">
        <v>6.15</v>
      </c>
      <c r="I129" s="35">
        <v>6.48</v>
      </c>
      <c r="J129" s="35">
        <v>6.7</v>
      </c>
      <c r="K129" s="35">
        <v>6.71</v>
      </c>
      <c r="L129" s="35">
        <v>5.57</v>
      </c>
      <c r="M129" s="35">
        <v>5.54</v>
      </c>
      <c r="N129" s="35">
        <v>5.67</v>
      </c>
      <c r="O129" s="35">
        <v>5.82</v>
      </c>
      <c r="P129" s="18"/>
      <c r="Q129" s="18">
        <f t="shared" si="14"/>
        <v>5.888571428571429</v>
      </c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</row>
    <row r="130" spans="1:55" ht="15">
      <c r="A130" s="34" t="s">
        <v>239</v>
      </c>
      <c r="B130" s="35">
        <v>66.26</v>
      </c>
      <c r="C130" s="35">
        <v>65.6</v>
      </c>
      <c r="D130" s="35">
        <v>68.8</v>
      </c>
      <c r="E130" s="35">
        <v>74.18</v>
      </c>
      <c r="F130" s="35">
        <v>101.87</v>
      </c>
      <c r="G130" s="35">
        <v>106.7</v>
      </c>
      <c r="H130" s="35">
        <v>114.29</v>
      </c>
      <c r="I130" s="35">
        <v>112.96</v>
      </c>
      <c r="J130" s="35">
        <v>116.4</v>
      </c>
      <c r="K130" s="35">
        <v>109.75</v>
      </c>
      <c r="L130" s="35">
        <v>112.04</v>
      </c>
      <c r="M130" s="35">
        <v>97.04</v>
      </c>
      <c r="N130" s="35">
        <f>SUM(N122:N129)</f>
        <v>93.64</v>
      </c>
      <c r="O130" s="35">
        <f>SUM(O122:O129)</f>
        <v>107.33999999999997</v>
      </c>
      <c r="P130" s="18"/>
      <c r="Q130" s="18">
        <f t="shared" si="14"/>
        <v>96.20500000000001</v>
      </c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</row>
    <row r="131" spans="1:55" ht="1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</row>
    <row r="132" spans="1:55" ht="15">
      <c r="A132" s="34" t="s">
        <v>248</v>
      </c>
      <c r="B132" s="35">
        <v>10.41</v>
      </c>
      <c r="C132" s="35">
        <v>-9.61</v>
      </c>
      <c r="D132" s="35">
        <v>-10.61</v>
      </c>
      <c r="E132" s="35">
        <v>-5.9</v>
      </c>
      <c r="F132" s="35">
        <v>25.54</v>
      </c>
      <c r="G132" s="35">
        <v>-14.05</v>
      </c>
      <c r="H132" s="35">
        <v>-18.32</v>
      </c>
      <c r="I132" s="35">
        <v>-19.52</v>
      </c>
      <c r="J132" s="35">
        <v>-4.29</v>
      </c>
      <c r="K132" s="35">
        <v>-20.36</v>
      </c>
      <c r="L132" s="35">
        <v>-45.97</v>
      </c>
      <c r="M132" s="35">
        <v>-57.5</v>
      </c>
      <c r="N132" s="35">
        <f>N119-N130</f>
        <v>-55.35</v>
      </c>
      <c r="O132" s="35">
        <f>O119-O130</f>
        <v>-41.85999999999997</v>
      </c>
      <c r="P132" s="18"/>
      <c r="Q132" s="18">
        <f>AVERAGE(B132:O132)</f>
        <v>-19.099285714285713</v>
      </c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</row>
    <row r="133" spans="1:55" ht="15">
      <c r="A133" s="67" t="s">
        <v>207</v>
      </c>
      <c r="B133" s="67" t="s">
        <v>207</v>
      </c>
      <c r="C133" s="67" t="s">
        <v>207</v>
      </c>
      <c r="D133" s="67" t="s">
        <v>207</v>
      </c>
      <c r="E133" s="67" t="s">
        <v>207</v>
      </c>
      <c r="F133" s="67" t="s">
        <v>207</v>
      </c>
      <c r="G133" s="67" t="s">
        <v>207</v>
      </c>
      <c r="H133" s="67" t="s">
        <v>207</v>
      </c>
      <c r="I133" s="67" t="s">
        <v>207</v>
      </c>
      <c r="J133" s="67" t="s">
        <v>207</v>
      </c>
      <c r="K133" s="67" t="s">
        <v>207</v>
      </c>
      <c r="L133" s="67" t="s">
        <v>207</v>
      </c>
      <c r="M133" s="67" t="s">
        <v>207</v>
      </c>
      <c r="N133" s="67" t="s">
        <v>207</v>
      </c>
      <c r="O133" s="67" t="s">
        <v>207</v>
      </c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</row>
    <row r="134" spans="1:55" ht="15">
      <c r="A134" s="34" t="s">
        <v>230</v>
      </c>
      <c r="B134" s="35">
        <v>3.38</v>
      </c>
      <c r="C134" s="35">
        <v>2.72</v>
      </c>
      <c r="D134" s="35">
        <v>2.28</v>
      </c>
      <c r="E134" s="35">
        <v>3.01</v>
      </c>
      <c r="F134" s="35">
        <v>3.84</v>
      </c>
      <c r="G134" s="35">
        <v>3.56</v>
      </c>
      <c r="H134" s="35">
        <v>3.72</v>
      </c>
      <c r="I134" s="35">
        <v>3.45</v>
      </c>
      <c r="J134" s="35">
        <v>3.32</v>
      </c>
      <c r="K134" s="35">
        <v>3.36</v>
      </c>
      <c r="L134" s="35">
        <v>2.94</v>
      </c>
      <c r="M134" s="35">
        <v>2.28</v>
      </c>
      <c r="N134" s="35">
        <v>2.32</v>
      </c>
      <c r="O134" s="35">
        <v>3.35</v>
      </c>
      <c r="P134" s="18"/>
      <c r="Q134" s="18">
        <f>AVERAGE(B134:O134)</f>
        <v>3.1092857142857144</v>
      </c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</row>
    <row r="135" spans="1:55" ht="15">
      <c r="A135" s="34" t="s">
        <v>231</v>
      </c>
      <c r="B135" s="35">
        <v>21</v>
      </c>
      <c r="C135" s="35">
        <v>18.5</v>
      </c>
      <c r="D135" s="35">
        <v>22.7</v>
      </c>
      <c r="E135" s="35">
        <v>20.9</v>
      </c>
      <c r="F135" s="35">
        <v>31.8</v>
      </c>
      <c r="G135" s="35">
        <v>24.51</v>
      </c>
      <c r="H135" s="35">
        <v>23.18</v>
      </c>
      <c r="I135" s="35">
        <v>24.36</v>
      </c>
      <c r="J135" s="35">
        <v>30.92</v>
      </c>
      <c r="K135" s="35">
        <v>23.8</v>
      </c>
      <c r="L135" s="35">
        <v>22.41</v>
      </c>
      <c r="M135" s="35">
        <v>17.3</v>
      </c>
      <c r="N135" s="39">
        <v>16.46</v>
      </c>
      <c r="O135" s="39">
        <v>19.49</v>
      </c>
      <c r="P135" s="18"/>
      <c r="Q135" s="18">
        <f>AVERAGE(B135:O135)</f>
        <v>22.666428571428575</v>
      </c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</row>
    <row r="136" spans="1:55" ht="15">
      <c r="A136" s="67" t="s">
        <v>207</v>
      </c>
      <c r="B136" s="67" t="s">
        <v>207</v>
      </c>
      <c r="C136" s="67" t="s">
        <v>207</v>
      </c>
      <c r="D136" s="67" t="s">
        <v>207</v>
      </c>
      <c r="E136" s="67" t="s">
        <v>207</v>
      </c>
      <c r="F136" s="67" t="s">
        <v>207</v>
      </c>
      <c r="G136" s="67" t="s">
        <v>207</v>
      </c>
      <c r="H136" s="67" t="s">
        <v>207</v>
      </c>
      <c r="I136" s="67" t="s">
        <v>207</v>
      </c>
      <c r="J136" s="67" t="s">
        <v>207</v>
      </c>
      <c r="K136" s="67" t="s">
        <v>207</v>
      </c>
      <c r="L136" s="67" t="s">
        <v>207</v>
      </c>
      <c r="M136" s="67" t="s">
        <v>207</v>
      </c>
      <c r="N136" s="67" t="s">
        <v>207</v>
      </c>
      <c r="O136" s="67" t="s">
        <v>207</v>
      </c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</row>
    <row r="137" spans="1:55" ht="15">
      <c r="A137" s="34" t="s">
        <v>249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</row>
    <row r="138" spans="1:55" ht="1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</row>
    <row r="139" spans="1:55" ht="15">
      <c r="A139" s="34" t="s">
        <v>407</v>
      </c>
      <c r="B139" s="18">
        <f>(SUM(B35:J35)+SUM(B103:O103))/23</f>
        <v>16.672534782608697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</row>
    <row r="140" spans="1:55" ht="1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</row>
    <row r="141" spans="1:55" ht="15">
      <c r="A141" s="34" t="s">
        <v>408</v>
      </c>
      <c r="B141" s="18">
        <f>(SUM(B35:J35)+SUM(O103))/10</f>
        <v>16.08283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</row>
    <row r="142" spans="1:55" ht="15">
      <c r="A142" s="34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</row>
    <row r="143" spans="1:55" ht="15">
      <c r="A143" s="63" t="s">
        <v>405</v>
      </c>
      <c r="B143" s="18">
        <f>(SUM(B64:J64)+SUM(B132:O133))/23</f>
        <v>-29.313552173913042</v>
      </c>
      <c r="C143" s="18"/>
      <c r="D143" s="18"/>
      <c r="E143" s="18"/>
      <c r="F143" s="18"/>
      <c r="G143" s="18" t="s">
        <v>0</v>
      </c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</row>
    <row r="144" spans="1:55" ht="1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</row>
    <row r="145" spans="1:55" ht="15">
      <c r="A145" s="63" t="s">
        <v>406</v>
      </c>
      <c r="B145" s="18">
        <f>(SUM(O132)+SUM(B64:J64))/10</f>
        <v>-44.86816999999999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</row>
    <row r="146" spans="1:55" ht="1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</row>
    <row r="147" spans="1:55" ht="1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</row>
    <row r="148" spans="1:55" ht="1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</row>
    <row r="149" spans="1:55" ht="1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</row>
    <row r="150" spans="1:55" ht="1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</row>
    <row r="151" spans="1:55" ht="1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</row>
    <row r="152" spans="1:55" ht="1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</row>
    <row r="153" spans="1:55" ht="1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</row>
    <row r="154" spans="1:55" ht="1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</row>
    <row r="155" spans="1:55" ht="1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</row>
    <row r="156" spans="1:55" ht="1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</row>
    <row r="157" spans="1:55" ht="1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</row>
    <row r="158" spans="1:55" ht="1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</row>
    <row r="159" spans="1:55" ht="1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</row>
    <row r="160" spans="1:55" ht="1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</row>
    <row r="161" spans="1:55" ht="1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</row>
    <row r="162" spans="1:55" ht="1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</row>
    <row r="163" spans="1:55" ht="1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</row>
    <row r="164" spans="1:55" ht="1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</row>
    <row r="165" spans="1:55" ht="1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</row>
    <row r="166" spans="1:55" ht="1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</row>
    <row r="167" spans="1:55" ht="1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</row>
    <row r="168" spans="1:55" ht="1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</row>
    <row r="169" spans="1:55" ht="1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</row>
    <row r="170" spans="1:55" ht="1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</row>
    <row r="171" spans="1:55" ht="1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</row>
    <row r="172" spans="1:55" ht="1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</row>
    <row r="173" spans="1:55" ht="1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</row>
    <row r="174" spans="1:55" ht="1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</row>
    <row r="175" spans="1:55" ht="1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</row>
    <row r="176" spans="1:55" ht="1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</row>
    <row r="177" spans="1:55" ht="1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</row>
    <row r="178" spans="1:55" ht="1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</row>
    <row r="179" spans="1:55" ht="1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</row>
    <row r="180" spans="1:55" ht="1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</row>
    <row r="181" spans="1:55" ht="1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</row>
    <row r="182" spans="1:55" ht="1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</row>
    <row r="183" spans="1:55" ht="1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</row>
    <row r="184" spans="1:55" ht="1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</row>
    <row r="185" spans="1:55" ht="1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</row>
    <row r="186" spans="1:55" ht="1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</row>
    <row r="187" spans="1:55" ht="1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</row>
    <row r="188" spans="1:55" ht="1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</row>
    <row r="189" spans="1:55" ht="1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</row>
    <row r="190" spans="1:55" ht="1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</row>
    <row r="191" spans="1:55" ht="1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</row>
    <row r="192" spans="1:55" ht="1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</row>
    <row r="193" spans="1:55" ht="1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</row>
    <row r="194" spans="1:55" ht="1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</row>
    <row r="195" spans="1:55" ht="1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</row>
    <row r="196" spans="1:55" ht="1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</row>
    <row r="197" spans="1:55" ht="1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</row>
    <row r="198" spans="1:55" ht="1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</row>
    <row r="199" spans="1:55" ht="1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</row>
    <row r="200" spans="1:55" ht="1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</row>
    <row r="201" spans="1:55" ht="1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</row>
    <row r="202" spans="1:55" ht="1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</row>
    <row r="203" spans="1:55" ht="1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</row>
    <row r="204" spans="1:55" ht="1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</row>
    <row r="205" spans="1:55" ht="1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</row>
    <row r="206" spans="1:55" ht="1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</row>
    <row r="207" spans="1:55" ht="1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</row>
    <row r="208" spans="1:55" ht="1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</row>
    <row r="209" spans="1:55" ht="1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</row>
    <row r="210" spans="1:55" ht="1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</row>
    <row r="211" spans="1:55" ht="1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</row>
    <row r="212" spans="1:55" ht="1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</row>
    <row r="213" spans="1:55" ht="1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</row>
    <row r="214" spans="1:55" ht="1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</row>
    <row r="215" spans="1:55" ht="1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</row>
    <row r="216" spans="1:55" ht="1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</row>
    <row r="217" spans="1:55" ht="1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</row>
    <row r="218" spans="1:55" ht="1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</row>
    <row r="219" spans="1:55" ht="1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</row>
    <row r="220" spans="1:55" ht="1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</row>
    <row r="221" spans="1:55" ht="1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</row>
    <row r="222" spans="1:55" ht="1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</row>
    <row r="223" spans="1:55" ht="1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</row>
    <row r="224" spans="1:55" ht="1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</row>
    <row r="225" spans="1:55" ht="1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</row>
    <row r="226" spans="1:55" ht="1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</row>
    <row r="227" spans="1:55" ht="1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</row>
    <row r="228" spans="1:55" ht="1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</row>
    <row r="229" spans="1:55" ht="1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</row>
    <row r="230" spans="1:55" ht="1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</row>
    <row r="231" spans="1:55" ht="1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</row>
    <row r="232" spans="1:55" ht="1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</row>
    <row r="233" spans="1:55" ht="1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</row>
    <row r="234" spans="1:55" ht="1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</row>
    <row r="235" spans="1:55" ht="1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</row>
    <row r="236" spans="1:55" ht="1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</row>
    <row r="237" spans="1:55" ht="1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</row>
    <row r="238" spans="1:55" ht="1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</row>
    <row r="239" spans="1:55" ht="1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</row>
    <row r="240" spans="1:55" ht="1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</row>
    <row r="241" spans="1:55" ht="1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</row>
    <row r="242" spans="1:55" ht="1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</row>
    <row r="243" spans="1:55" ht="1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</row>
    <row r="244" spans="1:55" ht="1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</row>
    <row r="245" spans="1:55" ht="1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</row>
    <row r="246" spans="1:55" ht="1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</row>
    <row r="247" spans="1:55" ht="1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</row>
    <row r="248" spans="1:55" ht="1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</row>
    <row r="249" spans="1:55" ht="1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</row>
    <row r="250" spans="1:55" ht="1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</row>
    <row r="251" spans="1:55" ht="1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</row>
    <row r="252" spans="1:55" ht="1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</row>
    <row r="253" spans="1:55" ht="1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</row>
    <row r="254" spans="1:55" ht="1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</row>
    <row r="255" spans="1:55" ht="1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</row>
    <row r="256" spans="1:55" ht="1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</row>
    <row r="257" spans="1:55" ht="1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</row>
    <row r="258" spans="1:55" ht="1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</row>
    <row r="259" spans="1:55" ht="1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</row>
    <row r="260" spans="1:55" ht="1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</row>
    <row r="261" spans="1:55" ht="1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</row>
    <row r="262" spans="1:55" ht="1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</row>
    <row r="263" spans="1:55" ht="1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</row>
    <row r="264" spans="1:55" ht="1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</row>
    <row r="265" spans="1:55" ht="1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</row>
    <row r="266" spans="1:55" ht="1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</row>
    <row r="267" spans="1:55" ht="1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</row>
    <row r="268" spans="1:55" ht="1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</row>
    <row r="269" spans="1:55" ht="1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</row>
    <row r="270" spans="1:55" ht="1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</row>
    <row r="271" spans="1:55" ht="1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</row>
    <row r="272" spans="1:55" ht="1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</row>
    <row r="273" spans="1:55" ht="1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</row>
    <row r="274" spans="1:55" ht="1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</row>
    <row r="275" spans="1:55" ht="1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</row>
    <row r="276" spans="1:55" ht="1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</row>
    <row r="277" spans="1:55" ht="1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</row>
    <row r="278" spans="1:55" ht="1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</row>
    <row r="279" spans="1:55" ht="1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</row>
    <row r="280" spans="1:55" ht="1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</row>
    <row r="281" spans="1:55" ht="1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</row>
    <row r="282" spans="1:55" ht="1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</row>
    <row r="283" spans="1:55" ht="1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</row>
    <row r="284" spans="1:55" ht="1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</row>
    <row r="285" spans="1:55" ht="1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</row>
    <row r="286" spans="1:55" ht="1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</row>
    <row r="287" spans="1:55" ht="1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</row>
    <row r="288" spans="1:55" ht="1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</row>
    <row r="289" spans="1:55" ht="1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</row>
    <row r="290" spans="1:55" ht="1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</row>
    <row r="291" spans="1:55" ht="1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</row>
    <row r="292" spans="1:55" ht="1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</row>
    <row r="293" spans="1:55" ht="1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</row>
    <row r="294" spans="1:55" ht="1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</row>
    <row r="295" spans="1:55" ht="1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</row>
    <row r="296" spans="1:55" ht="1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</row>
    <row r="297" spans="1:55" ht="1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</row>
    <row r="298" spans="1:55" ht="1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</row>
    <row r="299" spans="1:55" ht="1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</row>
    <row r="300" spans="1:55" ht="1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</row>
    <row r="301" spans="1:55" ht="1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</row>
    <row r="302" spans="1:55" ht="1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</row>
    <row r="303" spans="1:55" ht="1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</row>
    <row r="304" spans="1:55" ht="1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</row>
    <row r="305" spans="1:55" ht="1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</row>
    <row r="306" spans="1:55" ht="1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</row>
    <row r="307" spans="1:55" ht="1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</row>
    <row r="308" spans="1:55" ht="1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</row>
    <row r="309" spans="1:55" ht="1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</row>
    <row r="310" spans="1:55" ht="1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</row>
    <row r="311" spans="1:55" ht="1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</row>
    <row r="312" spans="1:55" ht="1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</row>
    <row r="313" spans="1:55" ht="1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</row>
    <row r="314" spans="1:55" ht="1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</row>
    <row r="315" spans="1:55" ht="1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</row>
    <row r="316" spans="1:55" ht="1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</row>
    <row r="317" spans="1:55" ht="1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</row>
    <row r="318" spans="1:55" ht="1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</row>
    <row r="319" spans="1:55" ht="1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</row>
    <row r="320" spans="1:55" ht="1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</row>
    <row r="321" spans="1:55" ht="1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</row>
    <row r="322" spans="1:55" ht="1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</row>
    <row r="323" spans="1:55" ht="1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</row>
    <row r="324" spans="1:55" ht="1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</row>
    <row r="325" spans="1:55" ht="1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</row>
    <row r="326" spans="1:55" ht="1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</row>
    <row r="327" spans="1:55" ht="1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</row>
    <row r="328" spans="1:55" ht="1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</row>
    <row r="329" spans="1:55" ht="1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</row>
    <row r="330" spans="1:55" ht="1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</row>
    <row r="331" spans="1:55" ht="1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</row>
    <row r="332" spans="1:55" ht="1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</row>
    <row r="333" spans="1:55" ht="1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</row>
    <row r="334" spans="1:55" ht="1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</row>
    <row r="335" spans="1:55" ht="1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</row>
    <row r="336" spans="1:55" ht="1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</row>
    <row r="337" spans="1:55" ht="1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</row>
    <row r="338" spans="1:55" ht="1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</row>
    <row r="339" spans="1:55" ht="1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</row>
    <row r="340" spans="1:55" ht="1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</row>
    <row r="341" spans="1:55" ht="1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</row>
    <row r="342" spans="1:55" ht="1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</row>
    <row r="343" spans="1:55" ht="1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</row>
    <row r="344" spans="1:55" ht="1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</row>
    <row r="345" spans="1:55" ht="1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</row>
    <row r="346" spans="1:55" ht="1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</row>
    <row r="347" spans="1:55" ht="1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</row>
    <row r="348" spans="1:55" ht="1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</row>
    <row r="349" spans="1:55" ht="1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</row>
    <row r="350" spans="1:55" ht="1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</row>
    <row r="351" spans="1:55" ht="1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</row>
    <row r="352" spans="1:55" ht="1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</row>
    <row r="353" spans="1:55" ht="1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</row>
    <row r="354" spans="1:55" ht="1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</row>
    <row r="355" spans="1:55" ht="1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</row>
    <row r="356" spans="1:55" ht="1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</row>
    <row r="357" spans="1:55" ht="1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</row>
    <row r="358" spans="1:55" ht="1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</row>
    <row r="359" spans="1:55" ht="1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</row>
    <row r="360" spans="1:55" ht="1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</row>
    <row r="361" spans="1:55" ht="1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</row>
    <row r="362" spans="1:55" ht="1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</row>
    <row r="363" spans="1:55" ht="1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</row>
    <row r="364" spans="1:55" ht="1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</row>
    <row r="365" spans="1:55" ht="1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</row>
    <row r="366" spans="1:55" ht="1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</row>
    <row r="367" spans="1:55" ht="1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</row>
    <row r="368" spans="1:55" ht="1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</row>
    <row r="369" spans="1:55" ht="1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</row>
    <row r="370" spans="1:55" ht="1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</row>
    <row r="371" spans="1:55" ht="1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</row>
    <row r="372" spans="1:55" ht="1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</row>
    <row r="373" spans="1:55" ht="1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</row>
    <row r="374" spans="1:55" ht="1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</row>
    <row r="375" spans="1:55" ht="1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</row>
    <row r="376" spans="1:55" ht="1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</row>
    <row r="377" spans="1:55" ht="1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</row>
    <row r="378" spans="1:55" ht="1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</row>
    <row r="379" spans="1:55" ht="1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</row>
    <row r="380" spans="1:55" ht="1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</row>
    <row r="381" spans="1:55" ht="1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</row>
    <row r="382" spans="1:55" ht="1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</row>
    <row r="383" spans="1:55" ht="1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</row>
    <row r="384" spans="1:55" ht="1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</row>
    <row r="385" spans="1:55" ht="1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</row>
    <row r="386" spans="1:55" ht="1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</row>
    <row r="387" spans="1:55" ht="1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</row>
    <row r="388" spans="1:55" ht="1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</row>
    <row r="389" spans="1:55" ht="1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</row>
    <row r="390" spans="1:55" ht="1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</row>
    <row r="391" spans="1:55" ht="1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</row>
    <row r="392" spans="1:55" ht="1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</row>
    <row r="393" spans="1:55" ht="1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</row>
    <row r="394" spans="1:55" ht="1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</row>
    <row r="395" spans="1:55" ht="1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</row>
    <row r="396" spans="1:55" ht="1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</row>
    <row r="397" spans="1:55" ht="1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</row>
    <row r="398" spans="1:55" ht="1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</row>
    <row r="399" spans="1:55" ht="1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</row>
    <row r="400" spans="1:55" ht="1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</row>
    <row r="401" spans="1:55" ht="1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</row>
    <row r="402" spans="1:55" ht="1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</row>
    <row r="403" spans="1:55" ht="1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</row>
    <row r="404" spans="1:55" ht="1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</row>
    <row r="405" spans="1:55" ht="1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</row>
    <row r="406" spans="1:55" ht="1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</row>
    <row r="407" spans="1:55" ht="1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</row>
    <row r="408" spans="1:55" ht="1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</row>
    <row r="409" spans="1:55" ht="1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</row>
    <row r="410" spans="1:55" ht="1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</row>
    <row r="411" spans="1:55" ht="1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</row>
    <row r="412" spans="1:55" ht="1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</row>
    <row r="413" spans="1:55" ht="1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</row>
    <row r="414" spans="1:55" ht="1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</row>
    <row r="415" spans="1:55" ht="1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</row>
    <row r="416" spans="1:55" ht="1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</row>
    <row r="417" spans="1:55" ht="1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</row>
    <row r="418" spans="1:55" ht="1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</row>
    <row r="419" spans="1:55" ht="1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</row>
    <row r="420" spans="1:55" ht="1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</row>
    <row r="421" spans="1:55" ht="1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</row>
    <row r="422" spans="1:55" ht="1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</row>
    <row r="423" spans="1:55" ht="1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</row>
    <row r="424" spans="1:55" ht="1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</row>
    <row r="425" spans="1:55" ht="1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</row>
    <row r="426" spans="1:55" ht="1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</row>
    <row r="427" spans="1:55" ht="1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</row>
    <row r="428" spans="1:55" ht="1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</row>
    <row r="429" spans="1:55" ht="1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</row>
    <row r="430" spans="1:55" ht="1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</row>
    <row r="431" spans="1:55" ht="1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</row>
    <row r="432" spans="1:55" ht="1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</row>
    <row r="433" spans="1:55" ht="1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</row>
    <row r="434" spans="1:55" ht="1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</row>
    <row r="435" spans="1:55" ht="1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</row>
    <row r="436" spans="1:55" ht="1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</row>
    <row r="437" spans="1:55" ht="1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</row>
    <row r="438" spans="1:55" ht="1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</row>
    <row r="439" spans="1:55" ht="1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</row>
    <row r="440" spans="1:55" ht="1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</row>
    <row r="441" spans="1:55" ht="1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</row>
    <row r="442" spans="1:55" ht="1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</row>
    <row r="443" spans="1:55" ht="1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</row>
    <row r="444" spans="1:55" ht="1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</row>
    <row r="445" spans="1:55" ht="1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</row>
    <row r="446" spans="1:55" ht="1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</row>
    <row r="447" spans="1:55" ht="1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</row>
    <row r="448" spans="1:55" ht="1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</row>
    <row r="449" spans="1:55" ht="1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</row>
    <row r="450" spans="1:55" ht="1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</row>
    <row r="451" spans="1:55" ht="1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</row>
    <row r="452" spans="1:55" ht="1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</row>
    <row r="453" spans="1:55" ht="1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</row>
    <row r="454" spans="1:55" ht="1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</row>
    <row r="455" spans="1:55" ht="1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</row>
    <row r="456" spans="1:55" ht="1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</row>
    <row r="457" spans="1:55" ht="1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</row>
    <row r="458" spans="1:55" ht="1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</row>
    <row r="459" spans="1:55" ht="1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</row>
    <row r="460" spans="1:55" ht="1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</row>
    <row r="461" spans="1:55" ht="1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</row>
    <row r="462" spans="1:55" ht="1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</row>
    <row r="463" spans="1:55" ht="1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</row>
    <row r="464" spans="1:55" ht="1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</row>
    <row r="465" spans="1:55" ht="1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</row>
    <row r="466" spans="1:55" ht="1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</row>
    <row r="467" spans="1:55" ht="1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</row>
    <row r="468" spans="1:55" ht="1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</row>
    <row r="469" spans="1:55" ht="1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</row>
    <row r="470" spans="1:55" ht="1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</row>
    <row r="471" spans="1:55" ht="1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</row>
    <row r="472" spans="1:55" ht="1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</row>
    <row r="473" spans="1:55" ht="1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</row>
    <row r="474" spans="1:55" ht="1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</row>
    <row r="475" spans="1:55" ht="1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</row>
    <row r="476" spans="1:55" ht="1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</row>
    <row r="477" spans="1:55" ht="1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</row>
    <row r="478" spans="1:55" ht="1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</row>
    <row r="479" spans="1:55" ht="1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</row>
    <row r="480" spans="1:55" ht="1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</row>
    <row r="481" spans="1:55" ht="1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</row>
    <row r="482" spans="1:55" ht="1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</row>
    <row r="483" spans="1:55" ht="1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</row>
    <row r="484" spans="1:55" ht="1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</row>
    <row r="485" spans="1:55" ht="1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</row>
    <row r="486" spans="1:55" ht="1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</row>
    <row r="487" spans="1:55" ht="1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</row>
    <row r="488" spans="1:55" ht="1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</row>
    <row r="489" spans="1:55" ht="1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</row>
    <row r="490" spans="1:55" ht="1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</row>
    <row r="491" spans="1:55" ht="1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</row>
    <row r="492" spans="1:55" ht="1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</row>
    <row r="493" spans="1:55" ht="1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</row>
    <row r="494" spans="1:55" ht="1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</row>
    <row r="495" spans="1:55" ht="1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</row>
    <row r="496" spans="1:55" ht="1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</row>
    <row r="497" spans="1:55" ht="1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</row>
    <row r="498" spans="1:55" ht="1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</row>
    <row r="499" spans="1:55" ht="1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</row>
    <row r="500" spans="1:55" ht="1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</row>
    <row r="501" spans="1:55" ht="1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</row>
    <row r="502" spans="1:55" ht="1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</row>
    <row r="503" spans="1:55" ht="1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</row>
    <row r="504" spans="1:55" ht="1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</row>
    <row r="505" spans="1:55" ht="1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</row>
    <row r="506" spans="1:55" ht="1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</row>
    <row r="507" spans="1:55" ht="1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</row>
    <row r="508" spans="1:55" ht="1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</row>
    <row r="509" spans="1:55" ht="1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</row>
    <row r="510" spans="1:55" ht="1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</row>
    <row r="511" spans="1:55" ht="1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</row>
    <row r="512" spans="1:55" ht="1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</row>
    <row r="513" spans="1:55" ht="1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</row>
    <row r="514" spans="1:55" ht="1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</row>
    <row r="515" spans="1:55" ht="1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</row>
    <row r="516" spans="1:55" ht="1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</row>
    <row r="517" spans="1:55" ht="1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</row>
    <row r="518" spans="1:55" ht="1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</row>
    <row r="519" spans="1:55" ht="1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</row>
    <row r="520" spans="1:55" ht="1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</row>
    <row r="521" spans="1:55" ht="1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</row>
    <row r="522" spans="1:55" ht="1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</row>
    <row r="523" spans="1:55" ht="1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</row>
    <row r="524" spans="1:55" ht="1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</row>
    <row r="525" spans="1:55" ht="1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</row>
    <row r="526" spans="1:55" ht="1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</row>
    <row r="527" spans="1:55" ht="1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</row>
    <row r="528" spans="1:55" ht="1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</row>
    <row r="529" spans="1:55" ht="1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</row>
    <row r="530" spans="1:55" ht="1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</row>
    <row r="531" spans="1:55" ht="1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</row>
    <row r="532" spans="1:55" ht="1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</row>
    <row r="533" spans="1:55" ht="1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</row>
    <row r="534" spans="1:55" ht="1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</row>
    <row r="535" spans="1:55" ht="1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</row>
    <row r="536" spans="1:55" ht="1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</row>
    <row r="537" spans="1:55" ht="1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</row>
    <row r="538" spans="1:55" ht="1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</row>
    <row r="539" spans="1:55" ht="1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</row>
    <row r="540" spans="1:55" ht="1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</row>
    <row r="541" spans="1:55" ht="1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</row>
    <row r="542" spans="1:55" ht="1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</row>
    <row r="543" spans="1:55" ht="1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</row>
    <row r="544" spans="1:55" ht="1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</row>
    <row r="545" spans="1:55" ht="1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</row>
    <row r="546" spans="1:55" ht="1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</row>
    <row r="547" spans="1:55" ht="1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</row>
    <row r="548" spans="1:55" ht="1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</row>
    <row r="549" spans="1:55" ht="1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</row>
    <row r="550" spans="1:55" ht="1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</row>
    <row r="551" spans="1:55" ht="1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</row>
    <row r="552" spans="1:55" ht="1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</row>
    <row r="553" spans="1:55" ht="1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</row>
    <row r="554" spans="1:55" ht="1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</row>
    <row r="555" spans="1:55" ht="1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</row>
    <row r="556" spans="1:55" ht="1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</row>
    <row r="557" spans="1:55" ht="1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</row>
    <row r="558" spans="1:55" ht="1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</row>
    <row r="559" spans="1:55" ht="1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</row>
    <row r="560" spans="1:55" ht="1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</row>
    <row r="561" spans="1:55" ht="1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</row>
    <row r="562" spans="1:55" ht="1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</row>
    <row r="563" spans="1:55" ht="1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</row>
    <row r="564" spans="1:55" ht="1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</row>
    <row r="565" spans="1:55" ht="1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</row>
    <row r="566" spans="1:55" ht="1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</row>
    <row r="567" spans="1:55" ht="1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</row>
    <row r="568" spans="1:55" ht="1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</row>
    <row r="569" spans="1:55" ht="1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</row>
    <row r="570" spans="1:55" ht="1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</row>
    <row r="571" spans="1:55" ht="1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</row>
    <row r="572" spans="1:55" ht="1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</row>
    <row r="573" spans="1:55" ht="1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</row>
    <row r="574" spans="1:55" ht="1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</row>
    <row r="575" spans="1:55" ht="1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</row>
    <row r="576" spans="1:55" ht="1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</row>
    <row r="577" spans="1:55" ht="1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</row>
    <row r="578" spans="1:55" ht="1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</row>
    <row r="579" spans="1:55" ht="1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</row>
    <row r="580" spans="1:55" ht="1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</row>
    <row r="581" spans="1:55" ht="1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</row>
    <row r="582" spans="1:55" ht="1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</row>
    <row r="583" spans="1:55" ht="1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</row>
    <row r="584" spans="1:55" ht="1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</row>
    <row r="585" spans="1:55" ht="1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</row>
    <row r="586" spans="1:55" ht="1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</row>
    <row r="587" spans="1:55" ht="1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</row>
    <row r="588" spans="1:55" ht="1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</row>
    <row r="589" spans="1:55" ht="1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</row>
    <row r="590" spans="1:55" ht="1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</row>
    <row r="591" spans="1:55" ht="1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</row>
    <row r="592" spans="1:55" ht="1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</row>
    <row r="593" spans="1:55" ht="1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</row>
    <row r="594" spans="1:55" ht="1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</row>
    <row r="595" spans="1:55" ht="1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</row>
    <row r="596" spans="1:55" ht="1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</row>
    <row r="597" spans="1:55" ht="1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</row>
    <row r="598" spans="1:55" ht="1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</row>
    <row r="599" spans="1:55" ht="1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</row>
    <row r="600" spans="1:55" ht="1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</row>
    <row r="601" spans="1:55" ht="1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</row>
    <row r="602" spans="1:55" ht="1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</row>
    <row r="603" spans="1:55" ht="1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</row>
    <row r="604" spans="1:55" ht="1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</row>
    <row r="605" spans="1:55" ht="1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</row>
    <row r="606" spans="1:55" ht="1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</row>
    <row r="607" spans="1:55" ht="1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</row>
    <row r="608" spans="1:55" ht="1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</row>
    <row r="609" spans="1:55" ht="1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</row>
    <row r="610" spans="1:55" ht="1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</row>
    <row r="611" spans="1:55" ht="1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</row>
    <row r="612" spans="1:55" ht="1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</row>
    <row r="613" spans="1:55" ht="1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</row>
    <row r="614" spans="1:55" ht="1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</row>
    <row r="615" spans="1:55" ht="1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</row>
    <row r="616" spans="1:55" ht="1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</row>
    <row r="617" spans="1:55" ht="1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</row>
    <row r="618" spans="1:55" ht="1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</row>
    <row r="619" spans="1:55" ht="1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</row>
    <row r="620" spans="1:55" ht="1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</row>
    <row r="621" spans="1:55" ht="1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</row>
    <row r="622" spans="1:55" ht="1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</row>
    <row r="623" spans="1:55" ht="1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</row>
    <row r="624" spans="1:55" ht="1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</row>
    <row r="625" spans="1:55" ht="1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</row>
    <row r="626" spans="1:55" ht="1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</row>
    <row r="627" spans="1:55" ht="1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</row>
    <row r="628" spans="1:55" ht="1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</row>
    <row r="629" spans="1:55" ht="1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</row>
    <row r="630" spans="1:55" ht="1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</row>
    <row r="631" spans="1:55" ht="1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</row>
    <row r="632" spans="1:55" ht="1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</row>
    <row r="633" spans="1:55" ht="1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</row>
    <row r="634" spans="1:55" ht="1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</row>
    <row r="635" spans="1:55" ht="1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</row>
    <row r="636" spans="1:55" ht="1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</row>
    <row r="637" spans="1:55" ht="1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</row>
    <row r="638" spans="1:55" ht="1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</row>
    <row r="639" spans="1:55" ht="1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</row>
    <row r="640" spans="1:55" ht="1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</row>
    <row r="641" spans="1:55" ht="1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</row>
    <row r="642" spans="1:55" ht="1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</row>
    <row r="643" spans="1:55" ht="1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</row>
    <row r="644" spans="1:55" ht="1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</row>
    <row r="645" spans="1:55" ht="1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</row>
    <row r="646" spans="1:55" ht="1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</row>
    <row r="647" spans="1:55" ht="1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</row>
    <row r="648" spans="1:55" ht="1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</row>
    <row r="649" spans="1:55" ht="1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</row>
    <row r="650" spans="1:55" ht="1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</row>
    <row r="651" spans="1:55" ht="1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</row>
    <row r="652" spans="1:55" ht="1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</row>
    <row r="653" spans="1:55" ht="1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</row>
    <row r="654" spans="1:55" ht="1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</row>
    <row r="655" spans="1:55" ht="1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</row>
    <row r="656" spans="1:55" ht="1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</row>
    <row r="657" spans="1:55" ht="1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</row>
    <row r="658" spans="1:55" ht="1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</row>
    <row r="659" spans="1:55" ht="1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</row>
    <row r="660" spans="1:55" ht="1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</row>
    <row r="661" spans="1:55" ht="1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</row>
    <row r="662" spans="1:55" ht="1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</row>
    <row r="663" spans="1:55" ht="1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</row>
    <row r="664" spans="1:55" ht="1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</row>
    <row r="665" spans="1:55" ht="1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</row>
    <row r="666" spans="1:55" ht="1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</row>
    <row r="667" spans="1:55" ht="1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</row>
    <row r="668" spans="1:55" ht="1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</row>
    <row r="669" spans="1:55" ht="1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</row>
    <row r="670" spans="1:55" ht="1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</row>
    <row r="671" spans="1:55" ht="1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</row>
    <row r="672" spans="1:55" ht="1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</row>
    <row r="673" spans="1:55" ht="1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</row>
    <row r="674" spans="1:55" ht="1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</row>
    <row r="675" spans="1:55" ht="1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</row>
    <row r="676" spans="1:55" ht="1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</row>
    <row r="677" spans="1:55" ht="1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</row>
    <row r="678" spans="1:55" ht="1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</row>
    <row r="679" spans="1:55" ht="1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</row>
    <row r="680" spans="1:55" ht="1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</row>
    <row r="681" spans="1:55" ht="1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</row>
    <row r="682" spans="1:55" ht="1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</row>
    <row r="683" spans="1:55" ht="1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</row>
    <row r="684" spans="1:55" ht="1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</row>
    <row r="685" spans="1:55" ht="1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</row>
    <row r="686" spans="1:55" ht="1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</row>
    <row r="687" spans="1:55" ht="1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</row>
    <row r="688" spans="1:55" ht="1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</row>
    <row r="689" spans="1:55" ht="1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</row>
    <row r="690" spans="1:55" ht="1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</row>
    <row r="691" spans="1:55" ht="1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</row>
    <row r="692" spans="1:55" ht="1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</row>
    <row r="693" spans="1:55" ht="1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</row>
    <row r="694" spans="1:55" ht="1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</row>
    <row r="695" spans="1:55" ht="1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</row>
    <row r="696" spans="1:55" ht="1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</row>
    <row r="697" spans="1:55" ht="1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</row>
    <row r="698" spans="1:55" ht="1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</row>
    <row r="699" spans="1:55" ht="1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</row>
    <row r="700" spans="1:55" ht="1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</row>
    <row r="701" spans="1:55" ht="1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</row>
    <row r="702" spans="1:55" ht="1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</row>
    <row r="703" spans="1:55" ht="1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</row>
    <row r="704" spans="1:55" ht="1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</row>
    <row r="705" spans="1:55" ht="1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</row>
    <row r="706" spans="1:55" ht="1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</row>
    <row r="707" spans="1:55" ht="1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</row>
    <row r="708" spans="1:55" ht="1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</row>
    <row r="709" spans="1:55" ht="1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</row>
    <row r="710" spans="1:55" ht="1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</row>
    <row r="711" spans="1:55" ht="1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</row>
    <row r="712" spans="1:55" ht="1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</row>
    <row r="713" spans="1:55" ht="1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</row>
    <row r="714" spans="1:55" ht="1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</row>
    <row r="715" spans="1:55" ht="1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</row>
    <row r="716" spans="1:55" ht="1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</row>
    <row r="717" spans="1:55" ht="1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</row>
    <row r="718" spans="1:55" ht="1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</row>
    <row r="719" spans="1:55" ht="1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</row>
    <row r="720" spans="1:55" ht="1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</row>
    <row r="721" spans="1:55" ht="1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</row>
    <row r="722" spans="1:55" ht="1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</row>
    <row r="723" spans="1:55" ht="1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</row>
    <row r="724" spans="1:55" ht="1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</row>
    <row r="725" spans="1:55" ht="1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</row>
    <row r="726" spans="1:55" ht="1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</row>
    <row r="727" spans="1:55" ht="1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</row>
    <row r="728" spans="1:55" ht="1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</row>
    <row r="729" spans="1:55" ht="1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</row>
    <row r="730" spans="1:55" ht="1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</row>
    <row r="731" spans="1:55" ht="1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</row>
    <row r="732" spans="1:55" ht="1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</row>
    <row r="733" spans="1:55" ht="1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</row>
    <row r="734" spans="1:55" ht="1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</row>
    <row r="735" spans="1:55" ht="1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</row>
    <row r="736" spans="1:55" ht="1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</row>
    <row r="737" spans="1:55" ht="1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</row>
    <row r="738" spans="1:55" ht="1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</row>
    <row r="739" spans="1:55" ht="1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</row>
    <row r="740" spans="1:55" ht="1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</row>
    <row r="741" spans="1:55" ht="1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</row>
    <row r="742" spans="1:55" ht="1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</row>
    <row r="743" spans="1:55" ht="1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</row>
    <row r="744" spans="1:55" ht="1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</row>
    <row r="745" spans="1:55" ht="1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</row>
    <row r="746" spans="1:55" ht="1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</row>
    <row r="747" spans="1:55" ht="1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</row>
    <row r="748" spans="1:55" ht="1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</row>
    <row r="749" spans="1:55" ht="1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</row>
    <row r="750" spans="1:55" ht="1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</row>
    <row r="751" spans="1:55" ht="1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</row>
    <row r="752" spans="1:55" ht="1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</row>
    <row r="753" spans="1:55" ht="1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</row>
    <row r="754" spans="1:55" ht="1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</row>
    <row r="755" spans="1:55" ht="1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</row>
    <row r="756" spans="1:55" ht="1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</row>
    <row r="757" spans="1:55" ht="1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</row>
    <row r="758" spans="1:55" ht="1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</row>
    <row r="759" spans="1:55" ht="1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</row>
    <row r="760" spans="1:55" ht="1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</row>
    <row r="761" spans="1:55" ht="1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</row>
    <row r="762" spans="1:55" ht="1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</row>
    <row r="763" spans="1:55" ht="1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</row>
    <row r="764" spans="1:55" ht="1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</row>
    <row r="765" spans="1:55" ht="1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</row>
    <row r="766" spans="1:55" ht="1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</row>
    <row r="767" spans="1:55" ht="1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</row>
    <row r="768" spans="1:55" ht="1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</row>
    <row r="769" spans="1:55" ht="1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</row>
    <row r="770" spans="1:55" ht="1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</row>
    <row r="771" spans="1:55" ht="1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</row>
    <row r="772" spans="1:55" ht="1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</row>
    <row r="773" spans="1:55" ht="1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</row>
    <row r="774" spans="1:55" ht="1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</row>
    <row r="775" spans="1:55" ht="1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</row>
    <row r="776" spans="1:55" ht="1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</row>
    <row r="777" spans="1:55" ht="1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</row>
    <row r="778" spans="1:55" ht="1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</row>
    <row r="779" spans="1:55" ht="1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</row>
    <row r="780" spans="1:55" ht="1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</row>
    <row r="781" spans="1:55" ht="1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</row>
    <row r="782" spans="1:55" ht="1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</row>
    <row r="783" spans="1:55" ht="1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</row>
    <row r="784" spans="1:55" ht="1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</row>
    <row r="785" spans="1:55" ht="1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</row>
    <row r="786" spans="1:55" ht="1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</row>
    <row r="787" spans="1:55" ht="1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</row>
    <row r="788" spans="1:55" ht="1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</row>
    <row r="789" spans="1:55" ht="1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</row>
    <row r="790" spans="1:55" ht="1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</row>
    <row r="791" spans="1:55" ht="1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</row>
    <row r="792" spans="1:55" ht="1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</row>
    <row r="793" spans="1:55" ht="1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</row>
    <row r="794" spans="1:55" ht="1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  <c r="BC794" s="18"/>
    </row>
    <row r="795" spans="1:55" ht="1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</row>
    <row r="796" spans="1:55" ht="1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</row>
    <row r="797" spans="1:55" ht="1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</row>
    <row r="798" spans="1:55" ht="1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</row>
    <row r="799" spans="1:55" ht="1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</row>
    <row r="800" spans="1:55" ht="1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</row>
    <row r="801" spans="1:55" ht="1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</row>
    <row r="802" spans="1:55" ht="1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  <c r="BC802" s="18"/>
    </row>
    <row r="803" spans="1:55" ht="1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  <c r="BC803" s="18"/>
    </row>
    <row r="804" spans="1:55" ht="1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  <c r="BC804" s="18"/>
    </row>
    <row r="805" spans="1:55" ht="1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</row>
    <row r="806" spans="1:55" ht="1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  <c r="BC806" s="18"/>
    </row>
    <row r="807" spans="1:55" ht="1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  <c r="BC807" s="18"/>
    </row>
    <row r="808" spans="1:55" ht="1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  <c r="BC808" s="18"/>
    </row>
    <row r="809" spans="1:55" ht="1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  <c r="BC809" s="18"/>
    </row>
    <row r="810" spans="1:55" ht="1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  <c r="BC810" s="18"/>
    </row>
    <row r="811" spans="1:55" ht="1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</row>
    <row r="812" spans="1:55" ht="1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</row>
    <row r="813" spans="1:55" ht="1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</row>
    <row r="814" spans="1:55" ht="1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</row>
    <row r="815" spans="1:55" ht="1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</row>
    <row r="816" spans="1:55" ht="1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</row>
    <row r="817" spans="1:55" ht="1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</row>
    <row r="818" spans="1:55" ht="1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  <c r="BC818" s="18"/>
    </row>
    <row r="819" spans="1:55" ht="1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</row>
    <row r="820" spans="1:55" ht="1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</row>
    <row r="821" spans="1:55" ht="1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</row>
    <row r="822" spans="1:55" ht="1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</row>
    <row r="823" spans="1:55" ht="1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</row>
    <row r="824" spans="1:55" ht="1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</row>
    <row r="825" spans="1:55" ht="1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</row>
    <row r="826" spans="1:55" ht="1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</row>
    <row r="827" spans="1:55" ht="1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</row>
    <row r="828" spans="1:55" ht="1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</row>
    <row r="829" spans="1:55" ht="1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</row>
    <row r="830" spans="1:55" ht="1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</row>
    <row r="831" spans="1:55" ht="1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</row>
    <row r="832" spans="1:55" ht="1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  <c r="BC832" s="18"/>
    </row>
    <row r="833" spans="1:55" ht="1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8"/>
      <c r="BB833" s="18"/>
      <c r="BC833" s="18"/>
    </row>
    <row r="834" spans="1:55" ht="1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8"/>
      <c r="BB834" s="18"/>
      <c r="BC834" s="18"/>
    </row>
    <row r="835" spans="1:55" ht="1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  <c r="BC835" s="18"/>
    </row>
    <row r="836" spans="1:55" ht="1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  <c r="BC836" s="18"/>
    </row>
    <row r="837" spans="1:55" ht="1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  <c r="BC837" s="18"/>
    </row>
    <row r="838" spans="1:55" ht="1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  <c r="BC838" s="18"/>
    </row>
    <row r="839" spans="1:55" ht="1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  <c r="BC839" s="18"/>
    </row>
    <row r="840" spans="1:55" ht="1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</row>
    <row r="841" spans="1:55" ht="1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  <c r="BC841" s="18"/>
    </row>
    <row r="842" spans="1:55" ht="1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  <c r="BC842" s="18"/>
    </row>
    <row r="843" spans="1:55" ht="1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  <c r="BC843" s="18"/>
    </row>
    <row r="844" spans="1:55" ht="1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8"/>
      <c r="BB844" s="18"/>
      <c r="BC844" s="18"/>
    </row>
    <row r="845" spans="1:55" ht="1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8"/>
      <c r="BB845" s="18"/>
      <c r="BC845" s="18"/>
    </row>
    <row r="846" spans="1:55" ht="1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8"/>
      <c r="BB846" s="18"/>
      <c r="BC846" s="18"/>
    </row>
    <row r="847" spans="1:55" ht="1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8"/>
      <c r="BB847" s="18"/>
      <c r="BC847" s="18"/>
    </row>
    <row r="848" spans="1:55" ht="1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  <c r="BC848" s="18"/>
    </row>
    <row r="849" spans="1:55" ht="1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8"/>
      <c r="BB849" s="18"/>
      <c r="BC849" s="18"/>
    </row>
    <row r="850" spans="1:55" ht="1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8"/>
      <c r="BB850" s="18"/>
      <c r="BC850" s="18"/>
    </row>
    <row r="851" spans="1:55" ht="1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  <c r="BC851" s="18"/>
    </row>
    <row r="852" spans="1:55" ht="1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  <c r="BC852" s="18"/>
    </row>
    <row r="853" spans="1:55" ht="1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  <c r="BC853" s="18"/>
    </row>
    <row r="854" spans="1:55" ht="1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  <c r="BC854" s="18"/>
    </row>
    <row r="855" spans="1:55" ht="1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</row>
    <row r="856" spans="1:55" ht="1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</row>
    <row r="857" spans="1:55" ht="1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</row>
    <row r="858" spans="1:55" ht="1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</row>
    <row r="859" spans="1:55" ht="1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  <c r="BC859" s="18"/>
    </row>
    <row r="860" spans="1:55" ht="1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</row>
    <row r="861" spans="1:55" ht="1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</row>
    <row r="862" spans="1:55" ht="1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  <c r="BC862" s="18"/>
    </row>
    <row r="863" spans="1:55" ht="1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8"/>
      <c r="BB863" s="18"/>
      <c r="BC863" s="18"/>
    </row>
    <row r="864" spans="1:55" ht="1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8"/>
      <c r="BB864" s="18"/>
      <c r="BC864" s="18"/>
    </row>
    <row r="865" spans="1:55" ht="1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8"/>
      <c r="BB865" s="18"/>
      <c r="BC865" s="18"/>
    </row>
    <row r="866" spans="1:55" ht="1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</row>
    <row r="867" spans="1:55" ht="1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  <c r="BC867" s="18"/>
    </row>
    <row r="868" spans="1:55" ht="1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8"/>
      <c r="BB868" s="18"/>
      <c r="BC868" s="18"/>
    </row>
    <row r="869" spans="1:55" ht="1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</row>
    <row r="870" spans="1:55" ht="1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</row>
    <row r="871" spans="1:55" ht="1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  <c r="BC871" s="18"/>
    </row>
    <row r="872" spans="1:55" ht="1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  <c r="BC872" s="18"/>
    </row>
    <row r="873" spans="1:55" ht="1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  <c r="BC873" s="18"/>
    </row>
    <row r="874" spans="1:55" ht="1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  <c r="BC874" s="18"/>
    </row>
    <row r="875" spans="1:55" ht="1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8"/>
      <c r="BB875" s="18"/>
      <c r="BC875" s="18"/>
    </row>
    <row r="876" spans="1:55" ht="1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8"/>
      <c r="BB876" s="18"/>
      <c r="BC876" s="18"/>
    </row>
    <row r="877" spans="1:55" ht="1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</row>
    <row r="878" spans="1:55" ht="1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</row>
    <row r="879" spans="1:55" ht="1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  <c r="BC879" s="18"/>
    </row>
    <row r="880" spans="1:55" ht="1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8"/>
      <c r="BB880" s="18"/>
      <c r="BC880" s="18"/>
    </row>
    <row r="881" spans="1:55" ht="1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</row>
    <row r="882" spans="1:55" ht="1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</row>
    <row r="883" spans="1:55" ht="1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</row>
    <row r="884" spans="1:55" ht="1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</row>
    <row r="885" spans="1:55" ht="1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  <c r="BC885" s="18"/>
    </row>
    <row r="886" spans="1:55" ht="1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</row>
    <row r="887" spans="1:55" ht="1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8"/>
      <c r="BB887" s="18"/>
      <c r="BC887" s="18"/>
    </row>
    <row r="888" spans="1:55" ht="1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</row>
    <row r="889" spans="1:55" ht="1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8"/>
      <c r="BB889" s="18"/>
      <c r="BC889" s="18"/>
    </row>
    <row r="890" spans="1:55" ht="1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</row>
    <row r="891" spans="1:55" ht="1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</row>
    <row r="892" spans="1:55" ht="1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</row>
    <row r="893" spans="1:55" ht="1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  <c r="BC893" s="18"/>
    </row>
    <row r="894" spans="1:55" ht="1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  <c r="BC894" s="18"/>
    </row>
    <row r="895" spans="1:55" ht="1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  <c r="BC895" s="18"/>
    </row>
    <row r="896" spans="1:55" ht="1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</row>
    <row r="897" spans="1:55" ht="1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8"/>
      <c r="BB897" s="18"/>
      <c r="BC897" s="18"/>
    </row>
    <row r="898" spans="1:55" ht="1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</row>
    <row r="899" spans="1:55" ht="1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8"/>
      <c r="BB899" s="18"/>
      <c r="BC899" s="18"/>
    </row>
    <row r="900" spans="1:55" ht="1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</row>
    <row r="901" spans="1:55" ht="1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8"/>
      <c r="BB901" s="18"/>
      <c r="BC901" s="18"/>
    </row>
    <row r="902" spans="1:55" ht="1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</row>
    <row r="903" spans="1:55" ht="1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</row>
    <row r="904" spans="1:55" ht="1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</row>
    <row r="905" spans="1:55" ht="1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8"/>
      <c r="BB905" s="18"/>
      <c r="BC905" s="18"/>
    </row>
    <row r="906" spans="1:55" ht="1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</row>
    <row r="907" spans="1:55" ht="1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  <c r="BC907" s="18"/>
    </row>
    <row r="908" spans="1:55" ht="1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  <c r="BC908" s="18"/>
    </row>
    <row r="909" spans="1:55" ht="1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8"/>
      <c r="BB909" s="18"/>
      <c r="BC909" s="18"/>
    </row>
    <row r="910" spans="1:55" ht="1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</row>
    <row r="911" spans="1:55" ht="1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8"/>
      <c r="BB911" s="18"/>
      <c r="BC911" s="18"/>
    </row>
    <row r="912" spans="1:55" ht="1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</row>
    <row r="913" spans="1:55" ht="1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8"/>
      <c r="BB913" s="18"/>
      <c r="BC913" s="18"/>
    </row>
    <row r="914" spans="1:55" ht="1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</row>
    <row r="915" spans="1:55" ht="1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</row>
    <row r="916" spans="1:55" ht="1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</row>
    <row r="917" spans="1:55" ht="1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  <c r="BC917" s="18"/>
    </row>
    <row r="918" spans="1:55" ht="1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  <c r="BC918" s="18"/>
    </row>
    <row r="919" spans="1:55" ht="1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</row>
    <row r="920" spans="1:55" ht="1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</row>
    <row r="921" spans="1:55" ht="1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  <c r="BC921" s="18"/>
    </row>
    <row r="922" spans="1:55" ht="1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</row>
    <row r="923" spans="1:55" ht="1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</row>
    <row r="924" spans="1:55" ht="1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</row>
    <row r="925" spans="1:55" ht="1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</row>
    <row r="926" spans="1:55" ht="1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  <c r="BC926" s="18"/>
    </row>
    <row r="927" spans="1:55" ht="1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  <c r="BC927" s="18"/>
    </row>
    <row r="928" spans="1:55" ht="1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</row>
    <row r="929" spans="1:55" ht="1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  <c r="BC929" s="18"/>
    </row>
    <row r="930" spans="1:55" ht="1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</row>
    <row r="931" spans="1:55" ht="1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</row>
    <row r="932" spans="1:55" ht="1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</row>
    <row r="933" spans="1:55" ht="1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</row>
    <row r="934" spans="1:55" ht="1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</row>
    <row r="935" spans="1:55" ht="1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</row>
    <row r="936" spans="1:55" ht="1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</row>
    <row r="937" spans="1:55" ht="1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  <c r="BC937" s="18"/>
    </row>
    <row r="938" spans="1:55" ht="1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</row>
    <row r="939" spans="1:55" ht="1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</row>
    <row r="940" spans="1:55" ht="1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</row>
    <row r="941" spans="1:55" ht="1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</row>
    <row r="942" spans="1:55" ht="1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</row>
    <row r="943" spans="1:55" ht="1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</row>
    <row r="944" spans="1:55" ht="1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</row>
    <row r="945" spans="1:55" ht="1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</row>
    <row r="946" spans="1:55" ht="1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</row>
    <row r="947" spans="1:55" ht="1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</row>
    <row r="948" spans="1:55" ht="1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</row>
    <row r="949" spans="1:55" ht="1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</row>
    <row r="950" spans="1:55" ht="1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</row>
    <row r="951" spans="1:55" ht="1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</row>
    <row r="952" spans="1:55" ht="1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</row>
    <row r="953" spans="1:55" ht="1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</row>
    <row r="954" spans="1:55" ht="1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</row>
    <row r="955" spans="1:55" ht="1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</row>
    <row r="956" spans="1:55" ht="1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</row>
    <row r="957" spans="1:55" ht="1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</row>
    <row r="958" spans="1:55" ht="1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</row>
    <row r="959" spans="1:55" ht="1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</row>
    <row r="960" spans="1:55" ht="1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</row>
    <row r="961" spans="1:55" ht="1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  <c r="AX961" s="18"/>
      <c r="AY961" s="18"/>
      <c r="AZ961" s="18"/>
      <c r="BA961" s="18"/>
      <c r="BB961" s="18"/>
      <c r="BC961" s="18"/>
    </row>
    <row r="962" spans="1:55" ht="1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</row>
    <row r="963" spans="1:55" ht="1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/>
      <c r="AY963" s="18"/>
      <c r="AZ963" s="18"/>
      <c r="BA963" s="18"/>
      <c r="BB963" s="18"/>
      <c r="BC963" s="18"/>
    </row>
    <row r="964" spans="1:55" ht="1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</row>
    <row r="965" spans="1:55" ht="1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  <c r="AW965" s="18"/>
      <c r="AX965" s="18"/>
      <c r="AY965" s="18"/>
      <c r="AZ965" s="18"/>
      <c r="BA965" s="18"/>
      <c r="BB965" s="18"/>
      <c r="BC965" s="18"/>
    </row>
    <row r="966" spans="1:55" ht="1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  <c r="AX966" s="18"/>
      <c r="AY966" s="18"/>
      <c r="AZ966" s="18"/>
      <c r="BA966" s="18"/>
      <c r="BB966" s="18"/>
      <c r="BC966" s="18"/>
    </row>
    <row r="967" spans="1:55" ht="1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  <c r="AW967" s="18"/>
      <c r="AX967" s="18"/>
      <c r="AY967" s="18"/>
      <c r="AZ967" s="18"/>
      <c r="BA967" s="18"/>
      <c r="BB967" s="18"/>
      <c r="BC967" s="18"/>
    </row>
    <row r="968" spans="1:55" ht="1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  <c r="AX968" s="18"/>
      <c r="AY968" s="18"/>
      <c r="AZ968" s="18"/>
      <c r="BA968" s="18"/>
      <c r="BB968" s="18"/>
      <c r="BC968" s="18"/>
    </row>
    <row r="969" spans="1:55" ht="1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  <c r="AS969" s="18"/>
      <c r="AT969" s="18"/>
      <c r="AU969" s="18"/>
      <c r="AV969" s="18"/>
      <c r="AW969" s="18"/>
      <c r="AX969" s="18"/>
      <c r="AY969" s="18"/>
      <c r="AZ969" s="18"/>
      <c r="BA969" s="18"/>
      <c r="BB969" s="18"/>
      <c r="BC969" s="18"/>
    </row>
    <row r="970" spans="1:55" ht="1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  <c r="AX970" s="18"/>
      <c r="AY970" s="18"/>
      <c r="AZ970" s="18"/>
      <c r="BA970" s="18"/>
      <c r="BB970" s="18"/>
      <c r="BC970" s="18"/>
    </row>
    <row r="971" spans="1:55" ht="1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  <c r="AV971" s="18"/>
      <c r="AW971" s="18"/>
      <c r="AX971" s="18"/>
      <c r="AY971" s="18"/>
      <c r="AZ971" s="18"/>
      <c r="BA971" s="18"/>
      <c r="BB971" s="18"/>
      <c r="BC971" s="18"/>
    </row>
    <row r="972" spans="1:55" ht="1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  <c r="AW972" s="18"/>
      <c r="AX972" s="18"/>
      <c r="AY972" s="18"/>
      <c r="AZ972" s="18"/>
      <c r="BA972" s="18"/>
      <c r="BB972" s="18"/>
      <c r="BC972" s="18"/>
    </row>
    <row r="973" spans="1:55" ht="1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  <c r="AW973" s="18"/>
      <c r="AX973" s="18"/>
      <c r="AY973" s="18"/>
      <c r="AZ973" s="18"/>
      <c r="BA973" s="18"/>
      <c r="BB973" s="18"/>
      <c r="BC973" s="18"/>
    </row>
    <row r="974" spans="1:55" ht="1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/>
      <c r="AY974" s="18"/>
      <c r="AZ974" s="18"/>
      <c r="BA974" s="18"/>
      <c r="BB974" s="18"/>
      <c r="BC974" s="18"/>
    </row>
    <row r="975" spans="1:55" ht="1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  <c r="AX975" s="18"/>
      <c r="AY975" s="18"/>
      <c r="AZ975" s="18"/>
      <c r="BA975" s="18"/>
      <c r="BB975" s="18"/>
      <c r="BC975" s="18"/>
    </row>
    <row r="976" spans="1:55" ht="1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18"/>
      <c r="AZ976" s="18"/>
      <c r="BA976" s="18"/>
      <c r="BB976" s="18"/>
      <c r="BC976" s="18"/>
    </row>
    <row r="977" spans="1:55" ht="1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  <c r="AW977" s="18"/>
      <c r="AX977" s="18"/>
      <c r="AY977" s="18"/>
      <c r="AZ977" s="18"/>
      <c r="BA977" s="18"/>
      <c r="BB977" s="18"/>
      <c r="BC977" s="18"/>
    </row>
    <row r="978" spans="1:55" ht="1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  <c r="AX978" s="18"/>
      <c r="AY978" s="18"/>
      <c r="AZ978" s="18"/>
      <c r="BA978" s="18"/>
      <c r="BB978" s="18"/>
      <c r="BC978" s="18"/>
    </row>
    <row r="979" spans="1:55" ht="1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  <c r="AW979" s="18"/>
      <c r="AX979" s="18"/>
      <c r="AY979" s="18"/>
      <c r="AZ979" s="18"/>
      <c r="BA979" s="18"/>
      <c r="BB979" s="18"/>
      <c r="BC979" s="18"/>
    </row>
    <row r="980" spans="1:55" ht="1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  <c r="AW980" s="18"/>
      <c r="AX980" s="18"/>
      <c r="AY980" s="18"/>
      <c r="AZ980" s="18"/>
      <c r="BA980" s="18"/>
      <c r="BB980" s="18"/>
      <c r="BC980" s="18"/>
    </row>
    <row r="981" spans="1:55" ht="1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  <c r="AW981" s="18"/>
      <c r="AX981" s="18"/>
      <c r="AY981" s="18"/>
      <c r="AZ981" s="18"/>
      <c r="BA981" s="18"/>
      <c r="BB981" s="18"/>
      <c r="BC981" s="18"/>
    </row>
    <row r="982" spans="1:55" ht="1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  <c r="AW982" s="18"/>
      <c r="AX982" s="18"/>
      <c r="AY982" s="18"/>
      <c r="AZ982" s="18"/>
      <c r="BA982" s="18"/>
      <c r="BB982" s="18"/>
      <c r="BC982" s="18"/>
    </row>
    <row r="983" spans="1:55" ht="1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  <c r="AW983" s="18"/>
      <c r="AX983" s="18"/>
      <c r="AY983" s="18"/>
      <c r="AZ983" s="18"/>
      <c r="BA983" s="18"/>
      <c r="BB983" s="18"/>
      <c r="BC983" s="18"/>
    </row>
    <row r="984" spans="1:55" ht="1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18"/>
      <c r="AZ984" s="18"/>
      <c r="BA984" s="18"/>
      <c r="BB984" s="18"/>
      <c r="BC984" s="18"/>
    </row>
    <row r="985" spans="1:55" ht="1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  <c r="AX985" s="18"/>
      <c r="AY985" s="18"/>
      <c r="AZ985" s="18"/>
      <c r="BA985" s="18"/>
      <c r="BB985" s="18"/>
      <c r="BC985" s="18"/>
    </row>
    <row r="986" spans="1:55" ht="1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18"/>
      <c r="AZ986" s="18"/>
      <c r="BA986" s="18"/>
      <c r="BB986" s="18"/>
      <c r="BC986" s="18"/>
    </row>
    <row r="987" spans="1:55" ht="1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/>
      <c r="AY987" s="18"/>
      <c r="AZ987" s="18"/>
      <c r="BA987" s="18"/>
      <c r="BB987" s="18"/>
      <c r="BC987" s="18"/>
    </row>
    <row r="988" spans="1:55" ht="1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/>
      <c r="AY988" s="18"/>
      <c r="AZ988" s="18"/>
      <c r="BA988" s="18"/>
      <c r="BB988" s="18"/>
      <c r="BC988" s="18"/>
    </row>
    <row r="989" spans="1:55" ht="1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18"/>
      <c r="AZ989" s="18"/>
      <c r="BA989" s="18"/>
      <c r="BB989" s="18"/>
      <c r="BC989" s="18"/>
    </row>
    <row r="990" spans="1:55" ht="1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  <c r="AX990" s="18"/>
      <c r="AY990" s="18"/>
      <c r="AZ990" s="18"/>
      <c r="BA990" s="18"/>
      <c r="BB990" s="18"/>
      <c r="BC990" s="18"/>
    </row>
    <row r="991" spans="1:55" ht="1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  <c r="AV991" s="18"/>
      <c r="AW991" s="18"/>
      <c r="AX991" s="18"/>
      <c r="AY991" s="18"/>
      <c r="AZ991" s="18"/>
      <c r="BA991" s="18"/>
      <c r="BB991" s="18"/>
      <c r="BC991" s="18"/>
    </row>
    <row r="992" spans="1:55" ht="1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  <c r="AW992" s="18"/>
      <c r="AX992" s="18"/>
      <c r="AY992" s="18"/>
      <c r="AZ992" s="18"/>
      <c r="BA992" s="18"/>
      <c r="BB992" s="18"/>
      <c r="BC992" s="18"/>
    </row>
    <row r="993" spans="1:55" ht="15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  <c r="AW993" s="18"/>
      <c r="AX993" s="18"/>
      <c r="AY993" s="18"/>
      <c r="AZ993" s="18"/>
      <c r="BA993" s="18"/>
      <c r="BB993" s="18"/>
      <c r="BC993" s="18"/>
    </row>
    <row r="994" spans="1:55" ht="15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  <c r="AX994" s="18"/>
      <c r="AY994" s="18"/>
      <c r="AZ994" s="18"/>
      <c r="BA994" s="18"/>
      <c r="BB994" s="18"/>
      <c r="BC994" s="18"/>
    </row>
    <row r="995" spans="1:55" ht="1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  <c r="AX995" s="18"/>
      <c r="AY995" s="18"/>
      <c r="AZ995" s="18"/>
      <c r="BA995" s="18"/>
      <c r="BB995" s="18"/>
      <c r="BC995" s="18"/>
    </row>
    <row r="996" spans="1:55" ht="15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  <c r="AX996" s="18"/>
      <c r="AY996" s="18"/>
      <c r="AZ996" s="18"/>
      <c r="BA996" s="18"/>
      <c r="BB996" s="18"/>
      <c r="BC996" s="18"/>
    </row>
    <row r="997" spans="1:55" ht="15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  <c r="AW997" s="18"/>
      <c r="AX997" s="18"/>
      <c r="AY997" s="18"/>
      <c r="AZ997" s="18"/>
      <c r="BA997" s="18"/>
      <c r="BB997" s="18"/>
      <c r="BC997" s="18"/>
    </row>
    <row r="998" spans="1:55" ht="15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18"/>
      <c r="AZ998" s="18"/>
      <c r="BA998" s="18"/>
      <c r="BB998" s="18"/>
      <c r="BC998" s="18"/>
    </row>
    <row r="999" spans="1:55" ht="15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  <c r="AW999" s="18"/>
      <c r="AX999" s="18"/>
      <c r="AY999" s="18"/>
      <c r="AZ999" s="18"/>
      <c r="BA999" s="18"/>
      <c r="BB999" s="18"/>
      <c r="BC999" s="18"/>
    </row>
    <row r="1000" spans="1:55" ht="1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  <c r="AV1000" s="18"/>
      <c r="AW1000" s="18"/>
      <c r="AX1000" s="18"/>
      <c r="AY1000" s="18"/>
      <c r="AZ1000" s="18"/>
      <c r="BA1000" s="18"/>
      <c r="BB1000" s="18"/>
      <c r="BC1000" s="18"/>
    </row>
    <row r="1001" spans="1:55" ht="1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18"/>
      <c r="AG1001" s="18"/>
      <c r="AH1001" s="18"/>
      <c r="AI1001" s="18"/>
      <c r="AJ1001" s="18"/>
      <c r="AK1001" s="18"/>
      <c r="AL1001" s="18"/>
      <c r="AM1001" s="18"/>
      <c r="AN1001" s="18"/>
      <c r="AO1001" s="18"/>
      <c r="AP1001" s="18"/>
      <c r="AQ1001" s="18"/>
      <c r="AR1001" s="18"/>
      <c r="AS1001" s="18"/>
      <c r="AT1001" s="18"/>
      <c r="AU1001" s="18"/>
      <c r="AV1001" s="18"/>
      <c r="AW1001" s="18"/>
      <c r="AX1001" s="18"/>
      <c r="AY1001" s="18"/>
      <c r="AZ1001" s="18"/>
      <c r="BA1001" s="18"/>
      <c r="BB1001" s="18"/>
      <c r="BC1001" s="18"/>
    </row>
    <row r="1002" spans="1:55" ht="15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/>
      <c r="AJ1002" s="18"/>
      <c r="AK1002" s="18"/>
      <c r="AL1002" s="18"/>
      <c r="AM1002" s="18"/>
      <c r="AN1002" s="18"/>
      <c r="AO1002" s="18"/>
      <c r="AP1002" s="18"/>
      <c r="AQ1002" s="18"/>
      <c r="AR1002" s="18"/>
      <c r="AS1002" s="18"/>
      <c r="AT1002" s="18"/>
      <c r="AU1002" s="18"/>
      <c r="AV1002" s="18"/>
      <c r="AW1002" s="18"/>
      <c r="AX1002" s="18"/>
      <c r="AY1002" s="18"/>
      <c r="AZ1002" s="18"/>
      <c r="BA1002" s="18"/>
      <c r="BB1002" s="18"/>
      <c r="BC1002" s="18"/>
    </row>
    <row r="1003" spans="1:55" ht="15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/>
      <c r="AJ1003" s="18"/>
      <c r="AK1003" s="18"/>
      <c r="AL1003" s="18"/>
      <c r="AM1003" s="18"/>
      <c r="AN1003" s="18"/>
      <c r="AO1003" s="18"/>
      <c r="AP1003" s="18"/>
      <c r="AQ1003" s="18"/>
      <c r="AR1003" s="18"/>
      <c r="AS1003" s="18"/>
      <c r="AT1003" s="18"/>
      <c r="AU1003" s="18"/>
      <c r="AV1003" s="18"/>
      <c r="AW1003" s="18"/>
      <c r="AX1003" s="18"/>
      <c r="AY1003" s="18"/>
      <c r="AZ1003" s="18"/>
      <c r="BA1003" s="18"/>
      <c r="BB1003" s="18"/>
      <c r="BC1003" s="18"/>
    </row>
    <row r="1004" spans="1:55" ht="15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  <c r="AF1004" s="18"/>
      <c r="AG1004" s="18"/>
      <c r="AH1004" s="18"/>
      <c r="AI1004" s="18"/>
      <c r="AJ1004" s="18"/>
      <c r="AK1004" s="18"/>
      <c r="AL1004" s="18"/>
      <c r="AM1004" s="18"/>
      <c r="AN1004" s="18"/>
      <c r="AO1004" s="18"/>
      <c r="AP1004" s="18"/>
      <c r="AQ1004" s="18"/>
      <c r="AR1004" s="18"/>
      <c r="AS1004" s="18"/>
      <c r="AT1004" s="18"/>
      <c r="AU1004" s="18"/>
      <c r="AV1004" s="18"/>
      <c r="AW1004" s="18"/>
      <c r="AX1004" s="18"/>
      <c r="AY1004" s="18"/>
      <c r="AZ1004" s="18"/>
      <c r="BA1004" s="18"/>
      <c r="BB1004" s="18"/>
      <c r="BC1004" s="18"/>
    </row>
    <row r="1005" spans="1:55" ht="15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  <c r="AD1005" s="18"/>
      <c r="AE1005" s="18"/>
      <c r="AF1005" s="18"/>
      <c r="AG1005" s="18"/>
      <c r="AH1005" s="18"/>
      <c r="AI1005" s="18"/>
      <c r="AJ1005" s="18"/>
      <c r="AK1005" s="18"/>
      <c r="AL1005" s="18"/>
      <c r="AM1005" s="18"/>
      <c r="AN1005" s="18"/>
      <c r="AO1005" s="18"/>
      <c r="AP1005" s="18"/>
      <c r="AQ1005" s="18"/>
      <c r="AR1005" s="18"/>
      <c r="AS1005" s="18"/>
      <c r="AT1005" s="18"/>
      <c r="AU1005" s="18"/>
      <c r="AV1005" s="18"/>
      <c r="AW1005" s="18"/>
      <c r="AX1005" s="18"/>
      <c r="AY1005" s="18"/>
      <c r="AZ1005" s="18"/>
      <c r="BA1005" s="18"/>
      <c r="BB1005" s="18"/>
      <c r="BC1005" s="18"/>
    </row>
    <row r="1006" spans="1:55" ht="15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  <c r="AD1006" s="18"/>
      <c r="AE1006" s="18"/>
      <c r="AF1006" s="18"/>
      <c r="AG1006" s="18"/>
      <c r="AH1006" s="18"/>
      <c r="AI1006" s="18"/>
      <c r="AJ1006" s="18"/>
      <c r="AK1006" s="18"/>
      <c r="AL1006" s="18"/>
      <c r="AM1006" s="18"/>
      <c r="AN1006" s="18"/>
      <c r="AO1006" s="18"/>
      <c r="AP1006" s="18"/>
      <c r="AQ1006" s="18"/>
      <c r="AR1006" s="18"/>
      <c r="AS1006" s="18"/>
      <c r="AT1006" s="18"/>
      <c r="AU1006" s="18"/>
      <c r="AV1006" s="18"/>
      <c r="AW1006" s="18"/>
      <c r="AX1006" s="18"/>
      <c r="AY1006" s="18"/>
      <c r="AZ1006" s="18"/>
      <c r="BA1006" s="18"/>
      <c r="BB1006" s="18"/>
      <c r="BC1006" s="18"/>
    </row>
    <row r="1007" spans="1:55" ht="15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  <c r="AD1007" s="18"/>
      <c r="AE1007" s="18"/>
      <c r="AF1007" s="18"/>
      <c r="AG1007" s="18"/>
      <c r="AH1007" s="18"/>
      <c r="AI1007" s="18"/>
      <c r="AJ1007" s="18"/>
      <c r="AK1007" s="18"/>
      <c r="AL1007" s="18"/>
      <c r="AM1007" s="18"/>
      <c r="AN1007" s="18"/>
      <c r="AO1007" s="18"/>
      <c r="AP1007" s="18"/>
      <c r="AQ1007" s="18"/>
      <c r="AR1007" s="18"/>
      <c r="AS1007" s="18"/>
      <c r="AT1007" s="18"/>
      <c r="AU1007" s="18"/>
      <c r="AV1007" s="18"/>
      <c r="AW1007" s="18"/>
      <c r="AX1007" s="18"/>
      <c r="AY1007" s="18"/>
      <c r="AZ1007" s="18"/>
      <c r="BA1007" s="18"/>
      <c r="BB1007" s="18"/>
      <c r="BC1007" s="18"/>
    </row>
    <row r="1008" spans="1:55" ht="15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8"/>
      <c r="AB1008" s="18"/>
      <c r="AC1008" s="18"/>
      <c r="AD1008" s="18"/>
      <c r="AE1008" s="18"/>
      <c r="AF1008" s="18"/>
      <c r="AG1008" s="18"/>
      <c r="AH1008" s="18"/>
      <c r="AI1008" s="18"/>
      <c r="AJ1008" s="18"/>
      <c r="AK1008" s="18"/>
      <c r="AL1008" s="18"/>
      <c r="AM1008" s="18"/>
      <c r="AN1008" s="18"/>
      <c r="AO1008" s="18"/>
      <c r="AP1008" s="18"/>
      <c r="AQ1008" s="18"/>
      <c r="AR1008" s="18"/>
      <c r="AS1008" s="18"/>
      <c r="AT1008" s="18"/>
      <c r="AU1008" s="18"/>
      <c r="AV1008" s="18"/>
      <c r="AW1008" s="18"/>
      <c r="AX1008" s="18"/>
      <c r="AY1008" s="18"/>
      <c r="AZ1008" s="18"/>
      <c r="BA1008" s="18"/>
      <c r="BB1008" s="18"/>
      <c r="BC1008" s="18"/>
    </row>
    <row r="1009" spans="1:55" ht="15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18"/>
      <c r="AG1009" s="18"/>
      <c r="AH1009" s="18"/>
      <c r="AI1009" s="18"/>
      <c r="AJ1009" s="18"/>
      <c r="AK1009" s="18"/>
      <c r="AL1009" s="18"/>
      <c r="AM1009" s="18"/>
      <c r="AN1009" s="18"/>
      <c r="AO1009" s="18"/>
      <c r="AP1009" s="18"/>
      <c r="AQ1009" s="18"/>
      <c r="AR1009" s="18"/>
      <c r="AS1009" s="18"/>
      <c r="AT1009" s="18"/>
      <c r="AU1009" s="18"/>
      <c r="AV1009" s="18"/>
      <c r="AW1009" s="18"/>
      <c r="AX1009" s="18"/>
      <c r="AY1009" s="18"/>
      <c r="AZ1009" s="18"/>
      <c r="BA1009" s="18"/>
      <c r="BB1009" s="18"/>
      <c r="BC1009" s="18"/>
    </row>
    <row r="1010" spans="1:55" ht="15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/>
      <c r="AF1010" s="18"/>
      <c r="AG1010" s="18"/>
      <c r="AH1010" s="18"/>
      <c r="AI1010" s="18"/>
      <c r="AJ1010" s="18"/>
      <c r="AK1010" s="18"/>
      <c r="AL1010" s="18"/>
      <c r="AM1010" s="18"/>
      <c r="AN1010" s="18"/>
      <c r="AO1010" s="18"/>
      <c r="AP1010" s="18"/>
      <c r="AQ1010" s="18"/>
      <c r="AR1010" s="18"/>
      <c r="AS1010" s="18"/>
      <c r="AT1010" s="18"/>
      <c r="AU1010" s="18"/>
      <c r="AV1010" s="18"/>
      <c r="AW1010" s="18"/>
      <c r="AX1010" s="18"/>
      <c r="AY1010" s="18"/>
      <c r="AZ1010" s="18"/>
      <c r="BA1010" s="18"/>
      <c r="BB1010" s="18"/>
      <c r="BC1010" s="18"/>
    </row>
    <row r="1011" spans="1:55" ht="15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18"/>
      <c r="AG1011" s="18"/>
      <c r="AH1011" s="18"/>
      <c r="AI1011" s="18"/>
      <c r="AJ1011" s="18"/>
      <c r="AK1011" s="18"/>
      <c r="AL1011" s="18"/>
      <c r="AM1011" s="18"/>
      <c r="AN1011" s="18"/>
      <c r="AO1011" s="18"/>
      <c r="AP1011" s="18"/>
      <c r="AQ1011" s="18"/>
      <c r="AR1011" s="18"/>
      <c r="AS1011" s="18"/>
      <c r="AT1011" s="18"/>
      <c r="AU1011" s="18"/>
      <c r="AV1011" s="18"/>
      <c r="AW1011" s="18"/>
      <c r="AX1011" s="18"/>
      <c r="AY1011" s="18"/>
      <c r="AZ1011" s="18"/>
      <c r="BA1011" s="18"/>
      <c r="BB1011" s="18"/>
      <c r="BC1011" s="18"/>
    </row>
    <row r="1012" spans="1:55" ht="15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18"/>
      <c r="AG1012" s="18"/>
      <c r="AH1012" s="18"/>
      <c r="AI1012" s="18"/>
      <c r="AJ1012" s="18"/>
      <c r="AK1012" s="18"/>
      <c r="AL1012" s="18"/>
      <c r="AM1012" s="18"/>
      <c r="AN1012" s="18"/>
      <c r="AO1012" s="18"/>
      <c r="AP1012" s="18"/>
      <c r="AQ1012" s="18"/>
      <c r="AR1012" s="18"/>
      <c r="AS1012" s="18"/>
      <c r="AT1012" s="18"/>
      <c r="AU1012" s="18"/>
      <c r="AV1012" s="18"/>
      <c r="AW1012" s="18"/>
      <c r="AX1012" s="18"/>
      <c r="AY1012" s="18"/>
      <c r="AZ1012" s="18"/>
      <c r="BA1012" s="18"/>
      <c r="BB1012" s="18"/>
      <c r="BC1012" s="18"/>
    </row>
    <row r="1013" spans="1:55" ht="15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  <c r="AE1013" s="18"/>
      <c r="AF1013" s="18"/>
      <c r="AG1013" s="18"/>
      <c r="AH1013" s="18"/>
      <c r="AI1013" s="18"/>
      <c r="AJ1013" s="18"/>
      <c r="AK1013" s="18"/>
      <c r="AL1013" s="18"/>
      <c r="AM1013" s="18"/>
      <c r="AN1013" s="18"/>
      <c r="AO1013" s="18"/>
      <c r="AP1013" s="18"/>
      <c r="AQ1013" s="18"/>
      <c r="AR1013" s="18"/>
      <c r="AS1013" s="18"/>
      <c r="AT1013" s="18"/>
      <c r="AU1013" s="18"/>
      <c r="AV1013" s="18"/>
      <c r="AW1013" s="18"/>
      <c r="AX1013" s="18"/>
      <c r="AY1013" s="18"/>
      <c r="AZ1013" s="18"/>
      <c r="BA1013" s="18"/>
      <c r="BB1013" s="18"/>
      <c r="BC1013" s="18"/>
    </row>
    <row r="1014" spans="1:55" ht="15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  <c r="AF1014" s="18"/>
      <c r="AG1014" s="18"/>
      <c r="AH1014" s="18"/>
      <c r="AI1014" s="18"/>
      <c r="AJ1014" s="18"/>
      <c r="AK1014" s="18"/>
      <c r="AL1014" s="18"/>
      <c r="AM1014" s="18"/>
      <c r="AN1014" s="18"/>
      <c r="AO1014" s="18"/>
      <c r="AP1014" s="18"/>
      <c r="AQ1014" s="18"/>
      <c r="AR1014" s="18"/>
      <c r="AS1014" s="18"/>
      <c r="AT1014" s="18"/>
      <c r="AU1014" s="18"/>
      <c r="AV1014" s="18"/>
      <c r="AW1014" s="18"/>
      <c r="AX1014" s="18"/>
      <c r="AY1014" s="18"/>
      <c r="AZ1014" s="18"/>
      <c r="BA1014" s="18"/>
      <c r="BB1014" s="18"/>
      <c r="BC1014" s="18"/>
    </row>
    <row r="1015" spans="1:55" ht="1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8"/>
      <c r="AB1015" s="18"/>
      <c r="AC1015" s="18"/>
      <c r="AD1015" s="18"/>
      <c r="AE1015" s="18"/>
      <c r="AF1015" s="18"/>
      <c r="AG1015" s="18"/>
      <c r="AH1015" s="18"/>
      <c r="AI1015" s="18"/>
      <c r="AJ1015" s="18"/>
      <c r="AK1015" s="18"/>
      <c r="AL1015" s="18"/>
      <c r="AM1015" s="18"/>
      <c r="AN1015" s="18"/>
      <c r="AO1015" s="18"/>
      <c r="AP1015" s="18"/>
      <c r="AQ1015" s="18"/>
      <c r="AR1015" s="18"/>
      <c r="AS1015" s="18"/>
      <c r="AT1015" s="18"/>
      <c r="AU1015" s="18"/>
      <c r="AV1015" s="18"/>
      <c r="AW1015" s="18"/>
      <c r="AX1015" s="18"/>
      <c r="AY1015" s="18"/>
      <c r="AZ1015" s="18"/>
      <c r="BA1015" s="18"/>
      <c r="BB1015" s="18"/>
      <c r="BC1015" s="18"/>
    </row>
    <row r="1016" spans="1:55" ht="15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18"/>
      <c r="AG1016" s="18"/>
      <c r="AH1016" s="18"/>
      <c r="AI1016" s="18"/>
      <c r="AJ1016" s="18"/>
      <c r="AK1016" s="18"/>
      <c r="AL1016" s="18"/>
      <c r="AM1016" s="18"/>
      <c r="AN1016" s="18"/>
      <c r="AO1016" s="18"/>
      <c r="AP1016" s="18"/>
      <c r="AQ1016" s="18"/>
      <c r="AR1016" s="18"/>
      <c r="AS1016" s="18"/>
      <c r="AT1016" s="18"/>
      <c r="AU1016" s="18"/>
      <c r="AV1016" s="18"/>
      <c r="AW1016" s="18"/>
      <c r="AX1016" s="18"/>
      <c r="AY1016" s="18"/>
      <c r="AZ1016" s="18"/>
      <c r="BA1016" s="18"/>
      <c r="BB1016" s="18"/>
      <c r="BC1016" s="18"/>
    </row>
    <row r="1017" spans="1:55" ht="15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  <c r="AE1017" s="18"/>
      <c r="AF1017" s="18"/>
      <c r="AG1017" s="18"/>
      <c r="AH1017" s="18"/>
      <c r="AI1017" s="18"/>
      <c r="AJ1017" s="18"/>
      <c r="AK1017" s="18"/>
      <c r="AL1017" s="18"/>
      <c r="AM1017" s="18"/>
      <c r="AN1017" s="18"/>
      <c r="AO1017" s="18"/>
      <c r="AP1017" s="18"/>
      <c r="AQ1017" s="18"/>
      <c r="AR1017" s="18"/>
      <c r="AS1017" s="18"/>
      <c r="AT1017" s="18"/>
      <c r="AU1017" s="18"/>
      <c r="AV1017" s="18"/>
      <c r="AW1017" s="18"/>
      <c r="AX1017" s="18"/>
      <c r="AY1017" s="18"/>
      <c r="AZ1017" s="18"/>
      <c r="BA1017" s="18"/>
      <c r="BB1017" s="18"/>
      <c r="BC1017" s="18"/>
    </row>
    <row r="1018" spans="1:55" ht="1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8"/>
      <c r="AE1018" s="18"/>
      <c r="AF1018" s="18"/>
      <c r="AG1018" s="18"/>
      <c r="AH1018" s="18"/>
      <c r="AI1018" s="18"/>
      <c r="AJ1018" s="18"/>
      <c r="AK1018" s="18"/>
      <c r="AL1018" s="18"/>
      <c r="AM1018" s="18"/>
      <c r="AN1018" s="18"/>
      <c r="AO1018" s="18"/>
      <c r="AP1018" s="18"/>
      <c r="AQ1018" s="18"/>
      <c r="AR1018" s="18"/>
      <c r="AS1018" s="18"/>
      <c r="AT1018" s="18"/>
      <c r="AU1018" s="18"/>
      <c r="AV1018" s="18"/>
      <c r="AW1018" s="18"/>
      <c r="AX1018" s="18"/>
      <c r="AY1018" s="18"/>
      <c r="AZ1018" s="18"/>
      <c r="BA1018" s="18"/>
      <c r="BB1018" s="18"/>
      <c r="BC1018" s="18"/>
    </row>
    <row r="1019" spans="1:55" ht="15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  <c r="AE1019" s="18"/>
      <c r="AF1019" s="18"/>
      <c r="AG1019" s="18"/>
      <c r="AH1019" s="18"/>
      <c r="AI1019" s="18"/>
      <c r="AJ1019" s="18"/>
      <c r="AK1019" s="18"/>
      <c r="AL1019" s="18"/>
      <c r="AM1019" s="18"/>
      <c r="AN1019" s="18"/>
      <c r="AO1019" s="18"/>
      <c r="AP1019" s="18"/>
      <c r="AQ1019" s="18"/>
      <c r="AR1019" s="18"/>
      <c r="AS1019" s="18"/>
      <c r="AT1019" s="18"/>
      <c r="AU1019" s="18"/>
      <c r="AV1019" s="18"/>
      <c r="AW1019" s="18"/>
      <c r="AX1019" s="18"/>
      <c r="AY1019" s="18"/>
      <c r="AZ1019" s="18"/>
      <c r="BA1019" s="18"/>
      <c r="BB1019" s="18"/>
      <c r="BC1019" s="18"/>
    </row>
    <row r="1020" spans="1:55" ht="15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  <c r="AE1020" s="18"/>
      <c r="AF1020" s="18"/>
      <c r="AG1020" s="18"/>
      <c r="AH1020" s="18"/>
      <c r="AI1020" s="18"/>
      <c r="AJ1020" s="18"/>
      <c r="AK1020" s="18"/>
      <c r="AL1020" s="18"/>
      <c r="AM1020" s="18"/>
      <c r="AN1020" s="18"/>
      <c r="AO1020" s="18"/>
      <c r="AP1020" s="18"/>
      <c r="AQ1020" s="18"/>
      <c r="AR1020" s="18"/>
      <c r="AS1020" s="18"/>
      <c r="AT1020" s="18"/>
      <c r="AU1020" s="18"/>
      <c r="AV1020" s="18"/>
      <c r="AW1020" s="18"/>
      <c r="AX1020" s="18"/>
      <c r="AY1020" s="18"/>
      <c r="AZ1020" s="18"/>
      <c r="BA1020" s="18"/>
      <c r="BB1020" s="18"/>
      <c r="BC1020" s="18"/>
    </row>
    <row r="1021" spans="1:55" ht="15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  <c r="AA1021" s="18"/>
      <c r="AB1021" s="18"/>
      <c r="AC1021" s="18"/>
      <c r="AD1021" s="18"/>
      <c r="AE1021" s="18"/>
      <c r="AF1021" s="18"/>
      <c r="AG1021" s="18"/>
      <c r="AH1021" s="18"/>
      <c r="AI1021" s="18"/>
      <c r="AJ1021" s="18"/>
      <c r="AK1021" s="18"/>
      <c r="AL1021" s="18"/>
      <c r="AM1021" s="18"/>
      <c r="AN1021" s="18"/>
      <c r="AO1021" s="18"/>
      <c r="AP1021" s="18"/>
      <c r="AQ1021" s="18"/>
      <c r="AR1021" s="18"/>
      <c r="AS1021" s="18"/>
      <c r="AT1021" s="18"/>
      <c r="AU1021" s="18"/>
      <c r="AV1021" s="18"/>
      <c r="AW1021" s="18"/>
      <c r="AX1021" s="18"/>
      <c r="AY1021" s="18"/>
      <c r="AZ1021" s="18"/>
      <c r="BA1021" s="18"/>
      <c r="BB1021" s="18"/>
      <c r="BC1021" s="18"/>
    </row>
    <row r="1022" spans="1:55" ht="15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  <c r="AF1022" s="18"/>
      <c r="AG1022" s="18"/>
      <c r="AH1022" s="18"/>
      <c r="AI1022" s="18"/>
      <c r="AJ1022" s="18"/>
      <c r="AK1022" s="18"/>
      <c r="AL1022" s="18"/>
      <c r="AM1022" s="18"/>
      <c r="AN1022" s="18"/>
      <c r="AO1022" s="18"/>
      <c r="AP1022" s="18"/>
      <c r="AQ1022" s="18"/>
      <c r="AR1022" s="18"/>
      <c r="AS1022" s="18"/>
      <c r="AT1022" s="18"/>
      <c r="AU1022" s="18"/>
      <c r="AV1022" s="18"/>
      <c r="AW1022" s="18"/>
      <c r="AX1022" s="18"/>
      <c r="AY1022" s="18"/>
      <c r="AZ1022" s="18"/>
      <c r="BA1022" s="18"/>
      <c r="BB1022" s="18"/>
      <c r="BC1022" s="18"/>
    </row>
    <row r="1023" spans="1:55" ht="15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  <c r="AF1023" s="18"/>
      <c r="AG1023" s="18"/>
      <c r="AH1023" s="18"/>
      <c r="AI1023" s="18"/>
      <c r="AJ1023" s="18"/>
      <c r="AK1023" s="18"/>
      <c r="AL1023" s="18"/>
      <c r="AM1023" s="18"/>
      <c r="AN1023" s="18"/>
      <c r="AO1023" s="18"/>
      <c r="AP1023" s="18"/>
      <c r="AQ1023" s="18"/>
      <c r="AR1023" s="18"/>
      <c r="AS1023" s="18"/>
      <c r="AT1023" s="18"/>
      <c r="AU1023" s="18"/>
      <c r="AV1023" s="18"/>
      <c r="AW1023" s="18"/>
      <c r="AX1023" s="18"/>
      <c r="AY1023" s="18"/>
      <c r="AZ1023" s="18"/>
      <c r="BA1023" s="18"/>
      <c r="BB1023" s="18"/>
      <c r="BC1023" s="18"/>
    </row>
    <row r="1024" spans="1:55" ht="15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  <c r="AE1024" s="18"/>
      <c r="AF1024" s="18"/>
      <c r="AG1024" s="18"/>
      <c r="AH1024" s="18"/>
      <c r="AI1024" s="18"/>
      <c r="AJ1024" s="18"/>
      <c r="AK1024" s="18"/>
      <c r="AL1024" s="18"/>
      <c r="AM1024" s="18"/>
      <c r="AN1024" s="18"/>
      <c r="AO1024" s="18"/>
      <c r="AP1024" s="18"/>
      <c r="AQ1024" s="18"/>
      <c r="AR1024" s="18"/>
      <c r="AS1024" s="18"/>
      <c r="AT1024" s="18"/>
      <c r="AU1024" s="18"/>
      <c r="AV1024" s="18"/>
      <c r="AW1024" s="18"/>
      <c r="AX1024" s="18"/>
      <c r="AY1024" s="18"/>
      <c r="AZ1024" s="18"/>
      <c r="BA1024" s="18"/>
      <c r="BB1024" s="18"/>
      <c r="BC1024" s="18"/>
    </row>
    <row r="1025" spans="1:55" ht="15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  <c r="AF1025" s="18"/>
      <c r="AG1025" s="18"/>
      <c r="AH1025" s="18"/>
      <c r="AI1025" s="18"/>
      <c r="AJ1025" s="18"/>
      <c r="AK1025" s="18"/>
      <c r="AL1025" s="18"/>
      <c r="AM1025" s="18"/>
      <c r="AN1025" s="18"/>
      <c r="AO1025" s="18"/>
      <c r="AP1025" s="18"/>
      <c r="AQ1025" s="18"/>
      <c r="AR1025" s="18"/>
      <c r="AS1025" s="18"/>
      <c r="AT1025" s="18"/>
      <c r="AU1025" s="18"/>
      <c r="AV1025" s="18"/>
      <c r="AW1025" s="18"/>
      <c r="AX1025" s="18"/>
      <c r="AY1025" s="18"/>
      <c r="AZ1025" s="18"/>
      <c r="BA1025" s="18"/>
      <c r="BB1025" s="18"/>
      <c r="BC1025" s="18"/>
    </row>
    <row r="1026" spans="1:55" ht="15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  <c r="AE1026" s="18"/>
      <c r="AF1026" s="18"/>
      <c r="AG1026" s="18"/>
      <c r="AH1026" s="18"/>
      <c r="AI1026" s="18"/>
      <c r="AJ1026" s="18"/>
      <c r="AK1026" s="18"/>
      <c r="AL1026" s="18"/>
      <c r="AM1026" s="18"/>
      <c r="AN1026" s="18"/>
      <c r="AO1026" s="18"/>
      <c r="AP1026" s="18"/>
      <c r="AQ1026" s="18"/>
      <c r="AR1026" s="18"/>
      <c r="AS1026" s="18"/>
      <c r="AT1026" s="18"/>
      <c r="AU1026" s="18"/>
      <c r="AV1026" s="18"/>
      <c r="AW1026" s="18"/>
      <c r="AX1026" s="18"/>
      <c r="AY1026" s="18"/>
      <c r="AZ1026" s="18"/>
      <c r="BA1026" s="18"/>
      <c r="BB1026" s="18"/>
      <c r="BC1026" s="18"/>
    </row>
    <row r="1027" spans="1:55" ht="15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  <c r="AA1027" s="18"/>
      <c r="AB1027" s="18"/>
      <c r="AC1027" s="18"/>
      <c r="AD1027" s="18"/>
      <c r="AE1027" s="18"/>
      <c r="AF1027" s="18"/>
      <c r="AG1027" s="18"/>
      <c r="AH1027" s="18"/>
      <c r="AI1027" s="18"/>
      <c r="AJ1027" s="18"/>
      <c r="AK1027" s="18"/>
      <c r="AL1027" s="18"/>
      <c r="AM1027" s="18"/>
      <c r="AN1027" s="18"/>
      <c r="AO1027" s="18"/>
      <c r="AP1027" s="18"/>
      <c r="AQ1027" s="18"/>
      <c r="AR1027" s="18"/>
      <c r="AS1027" s="18"/>
      <c r="AT1027" s="18"/>
      <c r="AU1027" s="18"/>
      <c r="AV1027" s="18"/>
      <c r="AW1027" s="18"/>
      <c r="AX1027" s="18"/>
      <c r="AY1027" s="18"/>
      <c r="AZ1027" s="18"/>
      <c r="BA1027" s="18"/>
      <c r="BB1027" s="18"/>
      <c r="BC1027" s="18"/>
    </row>
    <row r="1028" spans="1:55" ht="15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/>
      <c r="AD1028" s="18"/>
      <c r="AE1028" s="18"/>
      <c r="AF1028" s="18"/>
      <c r="AG1028" s="18"/>
      <c r="AH1028" s="18"/>
      <c r="AI1028" s="18"/>
      <c r="AJ1028" s="18"/>
      <c r="AK1028" s="18"/>
      <c r="AL1028" s="18"/>
      <c r="AM1028" s="18"/>
      <c r="AN1028" s="18"/>
      <c r="AO1028" s="18"/>
      <c r="AP1028" s="18"/>
      <c r="AQ1028" s="18"/>
      <c r="AR1028" s="18"/>
      <c r="AS1028" s="18"/>
      <c r="AT1028" s="18"/>
      <c r="AU1028" s="18"/>
      <c r="AV1028" s="18"/>
      <c r="AW1028" s="18"/>
      <c r="AX1028" s="18"/>
      <c r="AY1028" s="18"/>
      <c r="AZ1028" s="18"/>
      <c r="BA1028" s="18"/>
      <c r="BB1028" s="18"/>
      <c r="BC1028" s="18"/>
    </row>
    <row r="1029" spans="1:55" ht="15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8"/>
      <c r="AE1029" s="18"/>
      <c r="AF1029" s="18"/>
      <c r="AG1029" s="18"/>
      <c r="AH1029" s="18"/>
      <c r="AI1029" s="18"/>
      <c r="AJ1029" s="18"/>
      <c r="AK1029" s="18"/>
      <c r="AL1029" s="18"/>
      <c r="AM1029" s="18"/>
      <c r="AN1029" s="18"/>
      <c r="AO1029" s="18"/>
      <c r="AP1029" s="18"/>
      <c r="AQ1029" s="18"/>
      <c r="AR1029" s="18"/>
      <c r="AS1029" s="18"/>
      <c r="AT1029" s="18"/>
      <c r="AU1029" s="18"/>
      <c r="AV1029" s="18"/>
      <c r="AW1029" s="18"/>
      <c r="AX1029" s="18"/>
      <c r="AY1029" s="18"/>
      <c r="AZ1029" s="18"/>
      <c r="BA1029" s="18"/>
      <c r="BB1029" s="18"/>
      <c r="BC1029" s="18"/>
    </row>
    <row r="1030" spans="1:55" ht="15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  <c r="AA1030" s="18"/>
      <c r="AB1030" s="18"/>
      <c r="AC1030" s="18"/>
      <c r="AD1030" s="18"/>
      <c r="AE1030" s="18"/>
      <c r="AF1030" s="18"/>
      <c r="AG1030" s="18"/>
      <c r="AH1030" s="18"/>
      <c r="AI1030" s="18"/>
      <c r="AJ1030" s="18"/>
      <c r="AK1030" s="18"/>
      <c r="AL1030" s="18"/>
      <c r="AM1030" s="18"/>
      <c r="AN1030" s="18"/>
      <c r="AO1030" s="18"/>
      <c r="AP1030" s="18"/>
      <c r="AQ1030" s="18"/>
      <c r="AR1030" s="18"/>
      <c r="AS1030" s="18"/>
      <c r="AT1030" s="18"/>
      <c r="AU1030" s="18"/>
      <c r="AV1030" s="18"/>
      <c r="AW1030" s="18"/>
      <c r="AX1030" s="18"/>
      <c r="AY1030" s="18"/>
      <c r="AZ1030" s="18"/>
      <c r="BA1030" s="18"/>
      <c r="BB1030" s="18"/>
      <c r="BC1030" s="18"/>
    </row>
    <row r="1031" spans="1:55" ht="15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  <c r="AD1031" s="18"/>
      <c r="AE1031" s="18"/>
      <c r="AF1031" s="18"/>
      <c r="AG1031" s="18"/>
      <c r="AH1031" s="18"/>
      <c r="AI1031" s="18"/>
      <c r="AJ1031" s="18"/>
      <c r="AK1031" s="18"/>
      <c r="AL1031" s="18"/>
      <c r="AM1031" s="18"/>
      <c r="AN1031" s="18"/>
      <c r="AO1031" s="18"/>
      <c r="AP1031" s="18"/>
      <c r="AQ1031" s="18"/>
      <c r="AR1031" s="18"/>
      <c r="AS1031" s="18"/>
      <c r="AT1031" s="18"/>
      <c r="AU1031" s="18"/>
      <c r="AV1031" s="18"/>
      <c r="AW1031" s="18"/>
      <c r="AX1031" s="18"/>
      <c r="AY1031" s="18"/>
      <c r="AZ1031" s="18"/>
      <c r="BA1031" s="18"/>
      <c r="BB1031" s="18"/>
      <c r="BC1031" s="18"/>
    </row>
    <row r="1032" spans="1:55" ht="15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  <c r="AA1032" s="18"/>
      <c r="AB1032" s="18"/>
      <c r="AC1032" s="18"/>
      <c r="AD1032" s="18"/>
      <c r="AE1032" s="18"/>
      <c r="AF1032" s="18"/>
      <c r="AG1032" s="18"/>
      <c r="AH1032" s="18"/>
      <c r="AI1032" s="18"/>
      <c r="AJ1032" s="18"/>
      <c r="AK1032" s="18"/>
      <c r="AL1032" s="18"/>
      <c r="AM1032" s="18"/>
      <c r="AN1032" s="18"/>
      <c r="AO1032" s="18"/>
      <c r="AP1032" s="18"/>
      <c r="AQ1032" s="18"/>
      <c r="AR1032" s="18"/>
      <c r="AS1032" s="18"/>
      <c r="AT1032" s="18"/>
      <c r="AU1032" s="18"/>
      <c r="AV1032" s="18"/>
      <c r="AW1032" s="18"/>
      <c r="AX1032" s="18"/>
      <c r="AY1032" s="18"/>
      <c r="AZ1032" s="18"/>
      <c r="BA1032" s="18"/>
      <c r="BB1032" s="18"/>
      <c r="BC1032" s="18"/>
    </row>
    <row r="1033" spans="1:55" ht="15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  <c r="AA1033" s="18"/>
      <c r="AB1033" s="18"/>
      <c r="AC1033" s="18"/>
      <c r="AD1033" s="18"/>
      <c r="AE1033" s="18"/>
      <c r="AF1033" s="18"/>
      <c r="AG1033" s="18"/>
      <c r="AH1033" s="18"/>
      <c r="AI1033" s="18"/>
      <c r="AJ1033" s="18"/>
      <c r="AK1033" s="18"/>
      <c r="AL1033" s="18"/>
      <c r="AM1033" s="18"/>
      <c r="AN1033" s="18"/>
      <c r="AO1033" s="18"/>
      <c r="AP1033" s="18"/>
      <c r="AQ1033" s="18"/>
      <c r="AR1033" s="18"/>
      <c r="AS1033" s="18"/>
      <c r="AT1033" s="18"/>
      <c r="AU1033" s="18"/>
      <c r="AV1033" s="18"/>
      <c r="AW1033" s="18"/>
      <c r="AX1033" s="18"/>
      <c r="AY1033" s="18"/>
      <c r="AZ1033" s="18"/>
      <c r="BA1033" s="18"/>
      <c r="BB1033" s="18"/>
      <c r="BC1033" s="18"/>
    </row>
    <row r="1034" spans="1:55" ht="15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  <c r="AA1034" s="18"/>
      <c r="AB1034" s="18"/>
      <c r="AC1034" s="18"/>
      <c r="AD1034" s="18"/>
      <c r="AE1034" s="18"/>
      <c r="AF1034" s="18"/>
      <c r="AG1034" s="18"/>
      <c r="AH1034" s="18"/>
      <c r="AI1034" s="18"/>
      <c r="AJ1034" s="18"/>
      <c r="AK1034" s="18"/>
      <c r="AL1034" s="18"/>
      <c r="AM1034" s="18"/>
      <c r="AN1034" s="18"/>
      <c r="AO1034" s="18"/>
      <c r="AP1034" s="18"/>
      <c r="AQ1034" s="18"/>
      <c r="AR1034" s="18"/>
      <c r="AS1034" s="18"/>
      <c r="AT1034" s="18"/>
      <c r="AU1034" s="18"/>
      <c r="AV1034" s="18"/>
      <c r="AW1034" s="18"/>
      <c r="AX1034" s="18"/>
      <c r="AY1034" s="18"/>
      <c r="AZ1034" s="18"/>
      <c r="BA1034" s="18"/>
      <c r="BB1034" s="18"/>
      <c r="BC1034" s="18"/>
    </row>
    <row r="1035" spans="1:55" ht="15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8"/>
      <c r="AB1035" s="18"/>
      <c r="AC1035" s="18"/>
      <c r="AD1035" s="18"/>
      <c r="AE1035" s="18"/>
      <c r="AF1035" s="18"/>
      <c r="AG1035" s="18"/>
      <c r="AH1035" s="18"/>
      <c r="AI1035" s="18"/>
      <c r="AJ1035" s="18"/>
      <c r="AK1035" s="18"/>
      <c r="AL1035" s="18"/>
      <c r="AM1035" s="18"/>
      <c r="AN1035" s="18"/>
      <c r="AO1035" s="18"/>
      <c r="AP1035" s="18"/>
      <c r="AQ1035" s="18"/>
      <c r="AR1035" s="18"/>
      <c r="AS1035" s="18"/>
      <c r="AT1035" s="18"/>
      <c r="AU1035" s="18"/>
      <c r="AV1035" s="18"/>
      <c r="AW1035" s="18"/>
      <c r="AX1035" s="18"/>
      <c r="AY1035" s="18"/>
      <c r="AZ1035" s="18"/>
      <c r="BA1035" s="18"/>
      <c r="BB1035" s="18"/>
      <c r="BC1035" s="18"/>
    </row>
    <row r="1036" spans="1:55" ht="15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  <c r="AA1036" s="18"/>
      <c r="AB1036" s="18"/>
      <c r="AC1036" s="18"/>
      <c r="AD1036" s="18"/>
      <c r="AE1036" s="18"/>
      <c r="AF1036" s="18"/>
      <c r="AG1036" s="18"/>
      <c r="AH1036" s="18"/>
      <c r="AI1036" s="18"/>
      <c r="AJ1036" s="18"/>
      <c r="AK1036" s="18"/>
      <c r="AL1036" s="18"/>
      <c r="AM1036" s="18"/>
      <c r="AN1036" s="18"/>
      <c r="AO1036" s="18"/>
      <c r="AP1036" s="18"/>
      <c r="AQ1036" s="18"/>
      <c r="AR1036" s="18"/>
      <c r="AS1036" s="18"/>
      <c r="AT1036" s="18"/>
      <c r="AU1036" s="18"/>
      <c r="AV1036" s="18"/>
      <c r="AW1036" s="18"/>
      <c r="AX1036" s="18"/>
      <c r="AY1036" s="18"/>
      <c r="AZ1036" s="18"/>
      <c r="BA1036" s="18"/>
      <c r="BB1036" s="18"/>
      <c r="BC1036" s="18"/>
    </row>
    <row r="1037" spans="1:55" ht="15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/>
      <c r="AD1037" s="18"/>
      <c r="AE1037" s="18"/>
      <c r="AF1037" s="18"/>
      <c r="AG1037" s="18"/>
      <c r="AH1037" s="18"/>
      <c r="AI1037" s="18"/>
      <c r="AJ1037" s="18"/>
      <c r="AK1037" s="18"/>
      <c r="AL1037" s="18"/>
      <c r="AM1037" s="18"/>
      <c r="AN1037" s="18"/>
      <c r="AO1037" s="18"/>
      <c r="AP1037" s="18"/>
      <c r="AQ1037" s="18"/>
      <c r="AR1037" s="18"/>
      <c r="AS1037" s="18"/>
      <c r="AT1037" s="18"/>
      <c r="AU1037" s="18"/>
      <c r="AV1037" s="18"/>
      <c r="AW1037" s="18"/>
      <c r="AX1037" s="18"/>
      <c r="AY1037" s="18"/>
      <c r="AZ1037" s="18"/>
      <c r="BA1037" s="18"/>
      <c r="BB1037" s="18"/>
      <c r="BC1037" s="18"/>
    </row>
    <row r="1038" spans="1:55" ht="15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  <c r="AA1038" s="18"/>
      <c r="AB1038" s="18"/>
      <c r="AC1038" s="18"/>
      <c r="AD1038" s="18"/>
      <c r="AE1038" s="18"/>
      <c r="AF1038" s="18"/>
      <c r="AG1038" s="18"/>
      <c r="AH1038" s="18"/>
      <c r="AI1038" s="18"/>
      <c r="AJ1038" s="18"/>
      <c r="AK1038" s="18"/>
      <c r="AL1038" s="18"/>
      <c r="AM1038" s="18"/>
      <c r="AN1038" s="18"/>
      <c r="AO1038" s="18"/>
      <c r="AP1038" s="18"/>
      <c r="AQ1038" s="18"/>
      <c r="AR1038" s="18"/>
      <c r="AS1038" s="18"/>
      <c r="AT1038" s="18"/>
      <c r="AU1038" s="18"/>
      <c r="AV1038" s="18"/>
      <c r="AW1038" s="18"/>
      <c r="AX1038" s="18"/>
      <c r="AY1038" s="18"/>
      <c r="AZ1038" s="18"/>
      <c r="BA1038" s="18"/>
      <c r="BB1038" s="18"/>
      <c r="BC1038" s="18"/>
    </row>
    <row r="1039" spans="1:55" ht="15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/>
      <c r="AD1039" s="18"/>
      <c r="AE1039" s="18"/>
      <c r="AF1039" s="18"/>
      <c r="AG1039" s="18"/>
      <c r="AH1039" s="18"/>
      <c r="AI1039" s="18"/>
      <c r="AJ1039" s="18"/>
      <c r="AK1039" s="18"/>
      <c r="AL1039" s="18"/>
      <c r="AM1039" s="18"/>
      <c r="AN1039" s="18"/>
      <c r="AO1039" s="18"/>
      <c r="AP1039" s="18"/>
      <c r="AQ1039" s="18"/>
      <c r="AR1039" s="18"/>
      <c r="AS1039" s="18"/>
      <c r="AT1039" s="18"/>
      <c r="AU1039" s="18"/>
      <c r="AV1039" s="18"/>
      <c r="AW1039" s="18"/>
      <c r="AX1039" s="18"/>
      <c r="AY1039" s="18"/>
      <c r="AZ1039" s="18"/>
      <c r="BA1039" s="18"/>
      <c r="BB1039" s="18"/>
      <c r="BC1039" s="18"/>
    </row>
    <row r="1040" spans="1:55" ht="15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  <c r="AD1040" s="18"/>
      <c r="AE1040" s="18"/>
      <c r="AF1040" s="18"/>
      <c r="AG1040" s="18"/>
      <c r="AH1040" s="18"/>
      <c r="AI1040" s="18"/>
      <c r="AJ1040" s="18"/>
      <c r="AK1040" s="18"/>
      <c r="AL1040" s="18"/>
      <c r="AM1040" s="18"/>
      <c r="AN1040" s="18"/>
      <c r="AO1040" s="18"/>
      <c r="AP1040" s="18"/>
      <c r="AQ1040" s="18"/>
      <c r="AR1040" s="18"/>
      <c r="AS1040" s="18"/>
      <c r="AT1040" s="18"/>
      <c r="AU1040" s="18"/>
      <c r="AV1040" s="18"/>
      <c r="AW1040" s="18"/>
      <c r="AX1040" s="18"/>
      <c r="AY1040" s="18"/>
      <c r="AZ1040" s="18"/>
      <c r="BA1040" s="18"/>
      <c r="BB1040" s="18"/>
      <c r="BC1040" s="18"/>
    </row>
    <row r="1041" spans="1:55" ht="15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8"/>
      <c r="AB1041" s="18"/>
      <c r="AC1041" s="18"/>
      <c r="AD1041" s="18"/>
      <c r="AE1041" s="18"/>
      <c r="AF1041" s="18"/>
      <c r="AG1041" s="18"/>
      <c r="AH1041" s="18"/>
      <c r="AI1041" s="18"/>
      <c r="AJ1041" s="18"/>
      <c r="AK1041" s="18"/>
      <c r="AL1041" s="18"/>
      <c r="AM1041" s="18"/>
      <c r="AN1041" s="18"/>
      <c r="AO1041" s="18"/>
      <c r="AP1041" s="18"/>
      <c r="AQ1041" s="18"/>
      <c r="AR1041" s="18"/>
      <c r="AS1041" s="18"/>
      <c r="AT1041" s="18"/>
      <c r="AU1041" s="18"/>
      <c r="AV1041" s="18"/>
      <c r="AW1041" s="18"/>
      <c r="AX1041" s="18"/>
      <c r="AY1041" s="18"/>
      <c r="AZ1041" s="18"/>
      <c r="BA1041" s="18"/>
      <c r="BB1041" s="18"/>
      <c r="BC1041" s="18"/>
    </row>
    <row r="1042" spans="1:55" ht="15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8"/>
      <c r="AB1042" s="18"/>
      <c r="AC1042" s="18"/>
      <c r="AD1042" s="18"/>
      <c r="AE1042" s="18"/>
      <c r="AF1042" s="18"/>
      <c r="AG1042" s="18"/>
      <c r="AH1042" s="18"/>
      <c r="AI1042" s="18"/>
      <c r="AJ1042" s="18"/>
      <c r="AK1042" s="18"/>
      <c r="AL1042" s="18"/>
      <c r="AM1042" s="18"/>
      <c r="AN1042" s="18"/>
      <c r="AO1042" s="18"/>
      <c r="AP1042" s="18"/>
      <c r="AQ1042" s="18"/>
      <c r="AR1042" s="18"/>
      <c r="AS1042" s="18"/>
      <c r="AT1042" s="18"/>
      <c r="AU1042" s="18"/>
      <c r="AV1042" s="18"/>
      <c r="AW1042" s="18"/>
      <c r="AX1042" s="18"/>
      <c r="AY1042" s="18"/>
      <c r="AZ1042" s="18"/>
      <c r="BA1042" s="18"/>
      <c r="BB1042" s="18"/>
      <c r="BC1042" s="18"/>
    </row>
    <row r="1043" spans="1:55" ht="15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  <c r="AA1043" s="18"/>
      <c r="AB1043" s="18"/>
      <c r="AC1043" s="18"/>
      <c r="AD1043" s="18"/>
      <c r="AE1043" s="18"/>
      <c r="AF1043" s="18"/>
      <c r="AG1043" s="18"/>
      <c r="AH1043" s="18"/>
      <c r="AI1043" s="18"/>
      <c r="AJ1043" s="18"/>
      <c r="AK1043" s="18"/>
      <c r="AL1043" s="18"/>
      <c r="AM1043" s="18"/>
      <c r="AN1043" s="18"/>
      <c r="AO1043" s="18"/>
      <c r="AP1043" s="18"/>
      <c r="AQ1043" s="18"/>
      <c r="AR1043" s="18"/>
      <c r="AS1043" s="18"/>
      <c r="AT1043" s="18"/>
      <c r="AU1043" s="18"/>
      <c r="AV1043" s="18"/>
      <c r="AW1043" s="18"/>
      <c r="AX1043" s="18"/>
      <c r="AY1043" s="18"/>
      <c r="AZ1043" s="18"/>
      <c r="BA1043" s="18"/>
      <c r="BB1043" s="18"/>
      <c r="BC1043" s="18"/>
    </row>
    <row r="1044" spans="1:55" ht="15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  <c r="AD1044" s="18"/>
      <c r="AE1044" s="18"/>
      <c r="AF1044" s="18"/>
      <c r="AG1044" s="18"/>
      <c r="AH1044" s="18"/>
      <c r="AI1044" s="18"/>
      <c r="AJ1044" s="18"/>
      <c r="AK1044" s="18"/>
      <c r="AL1044" s="18"/>
      <c r="AM1044" s="18"/>
      <c r="AN1044" s="18"/>
      <c r="AO1044" s="18"/>
      <c r="AP1044" s="18"/>
      <c r="AQ1044" s="18"/>
      <c r="AR1044" s="18"/>
      <c r="AS1044" s="18"/>
      <c r="AT1044" s="18"/>
      <c r="AU1044" s="18"/>
      <c r="AV1044" s="18"/>
      <c r="AW1044" s="18"/>
      <c r="AX1044" s="18"/>
      <c r="AY1044" s="18"/>
      <c r="AZ1044" s="18"/>
      <c r="BA1044" s="18"/>
      <c r="BB1044" s="18"/>
      <c r="BC1044" s="18"/>
    </row>
    <row r="1045" spans="1:55" ht="15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  <c r="AA1045" s="18"/>
      <c r="AB1045" s="18"/>
      <c r="AC1045" s="18"/>
      <c r="AD1045" s="18"/>
      <c r="AE1045" s="18"/>
      <c r="AF1045" s="18"/>
      <c r="AG1045" s="18"/>
      <c r="AH1045" s="18"/>
      <c r="AI1045" s="18"/>
      <c r="AJ1045" s="18"/>
      <c r="AK1045" s="18"/>
      <c r="AL1045" s="18"/>
      <c r="AM1045" s="18"/>
      <c r="AN1045" s="18"/>
      <c r="AO1045" s="18"/>
      <c r="AP1045" s="18"/>
      <c r="AQ1045" s="18"/>
      <c r="AR1045" s="18"/>
      <c r="AS1045" s="18"/>
      <c r="AT1045" s="18"/>
      <c r="AU1045" s="18"/>
      <c r="AV1045" s="18"/>
      <c r="AW1045" s="18"/>
      <c r="AX1045" s="18"/>
      <c r="AY1045" s="18"/>
      <c r="AZ1045" s="18"/>
      <c r="BA1045" s="18"/>
      <c r="BB1045" s="18"/>
      <c r="BC1045" s="18"/>
    </row>
    <row r="1046" spans="1:55" ht="15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  <c r="AD1046" s="18"/>
      <c r="AE1046" s="18"/>
      <c r="AF1046" s="18"/>
      <c r="AG1046" s="18"/>
      <c r="AH1046" s="18"/>
      <c r="AI1046" s="18"/>
      <c r="AJ1046" s="18"/>
      <c r="AK1046" s="18"/>
      <c r="AL1046" s="18"/>
      <c r="AM1046" s="18"/>
      <c r="AN1046" s="18"/>
      <c r="AO1046" s="18"/>
      <c r="AP1046" s="18"/>
      <c r="AQ1046" s="18"/>
      <c r="AR1046" s="18"/>
      <c r="AS1046" s="18"/>
      <c r="AT1046" s="18"/>
      <c r="AU1046" s="18"/>
      <c r="AV1046" s="18"/>
      <c r="AW1046" s="18"/>
      <c r="AX1046" s="18"/>
      <c r="AY1046" s="18"/>
      <c r="AZ1046" s="18"/>
      <c r="BA1046" s="18"/>
      <c r="BB1046" s="18"/>
      <c r="BC1046" s="18"/>
    </row>
    <row r="1047" spans="1:55" ht="15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  <c r="AE1047" s="18"/>
      <c r="AF1047" s="18"/>
      <c r="AG1047" s="18"/>
      <c r="AH1047" s="18"/>
      <c r="AI1047" s="18"/>
      <c r="AJ1047" s="18"/>
      <c r="AK1047" s="18"/>
      <c r="AL1047" s="18"/>
      <c r="AM1047" s="18"/>
      <c r="AN1047" s="18"/>
      <c r="AO1047" s="18"/>
      <c r="AP1047" s="18"/>
      <c r="AQ1047" s="18"/>
      <c r="AR1047" s="18"/>
      <c r="AS1047" s="18"/>
      <c r="AT1047" s="18"/>
      <c r="AU1047" s="18"/>
      <c r="AV1047" s="18"/>
      <c r="AW1047" s="18"/>
      <c r="AX1047" s="18"/>
      <c r="AY1047" s="18"/>
      <c r="AZ1047" s="18"/>
      <c r="BA1047" s="18"/>
      <c r="BB1047" s="18"/>
      <c r="BC1047" s="18"/>
    </row>
    <row r="1048" spans="1:55" ht="15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8"/>
      <c r="AF1048" s="18"/>
      <c r="AG1048" s="18"/>
      <c r="AH1048" s="18"/>
      <c r="AI1048" s="18"/>
      <c r="AJ1048" s="18"/>
      <c r="AK1048" s="18"/>
      <c r="AL1048" s="18"/>
      <c r="AM1048" s="18"/>
      <c r="AN1048" s="18"/>
      <c r="AO1048" s="18"/>
      <c r="AP1048" s="18"/>
      <c r="AQ1048" s="18"/>
      <c r="AR1048" s="18"/>
      <c r="AS1048" s="18"/>
      <c r="AT1048" s="18"/>
      <c r="AU1048" s="18"/>
      <c r="AV1048" s="18"/>
      <c r="AW1048" s="18"/>
      <c r="AX1048" s="18"/>
      <c r="AY1048" s="18"/>
      <c r="AZ1048" s="18"/>
      <c r="BA1048" s="18"/>
      <c r="BB1048" s="18"/>
      <c r="BC1048" s="18"/>
    </row>
    <row r="1049" spans="1:55" ht="15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8"/>
      <c r="AF1049" s="18"/>
      <c r="AG1049" s="18"/>
      <c r="AH1049" s="18"/>
      <c r="AI1049" s="18"/>
      <c r="AJ1049" s="18"/>
      <c r="AK1049" s="18"/>
      <c r="AL1049" s="18"/>
      <c r="AM1049" s="18"/>
      <c r="AN1049" s="18"/>
      <c r="AO1049" s="18"/>
      <c r="AP1049" s="18"/>
      <c r="AQ1049" s="18"/>
      <c r="AR1049" s="18"/>
      <c r="AS1049" s="18"/>
      <c r="AT1049" s="18"/>
      <c r="AU1049" s="18"/>
      <c r="AV1049" s="18"/>
      <c r="AW1049" s="18"/>
      <c r="AX1049" s="18"/>
      <c r="AY1049" s="18"/>
      <c r="AZ1049" s="18"/>
      <c r="BA1049" s="18"/>
      <c r="BB1049" s="18"/>
      <c r="BC1049" s="18"/>
    </row>
    <row r="1050" spans="1:55" ht="15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  <c r="AF1050" s="18"/>
      <c r="AG1050" s="18"/>
      <c r="AH1050" s="18"/>
      <c r="AI1050" s="18"/>
      <c r="AJ1050" s="18"/>
      <c r="AK1050" s="18"/>
      <c r="AL1050" s="18"/>
      <c r="AM1050" s="18"/>
      <c r="AN1050" s="18"/>
      <c r="AO1050" s="18"/>
      <c r="AP1050" s="18"/>
      <c r="AQ1050" s="18"/>
      <c r="AR1050" s="18"/>
      <c r="AS1050" s="18"/>
      <c r="AT1050" s="18"/>
      <c r="AU1050" s="18"/>
      <c r="AV1050" s="18"/>
      <c r="AW1050" s="18"/>
      <c r="AX1050" s="18"/>
      <c r="AY1050" s="18"/>
      <c r="AZ1050" s="18"/>
      <c r="BA1050" s="18"/>
      <c r="BB1050" s="18"/>
      <c r="BC1050" s="18"/>
    </row>
    <row r="1051" spans="1:55" ht="15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  <c r="AE1051" s="18"/>
      <c r="AF1051" s="18"/>
      <c r="AG1051" s="18"/>
      <c r="AH1051" s="18"/>
      <c r="AI1051" s="18"/>
      <c r="AJ1051" s="18"/>
      <c r="AK1051" s="18"/>
      <c r="AL1051" s="18"/>
      <c r="AM1051" s="18"/>
      <c r="AN1051" s="18"/>
      <c r="AO1051" s="18"/>
      <c r="AP1051" s="18"/>
      <c r="AQ1051" s="18"/>
      <c r="AR1051" s="18"/>
      <c r="AS1051" s="18"/>
      <c r="AT1051" s="18"/>
      <c r="AU1051" s="18"/>
      <c r="AV1051" s="18"/>
      <c r="AW1051" s="18"/>
      <c r="AX1051" s="18"/>
      <c r="AY1051" s="18"/>
      <c r="AZ1051" s="18"/>
      <c r="BA1051" s="18"/>
      <c r="BB1051" s="18"/>
      <c r="BC1051" s="18"/>
    </row>
    <row r="1052" spans="1:55" ht="15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8"/>
      <c r="AE1052" s="18"/>
      <c r="AF1052" s="18"/>
      <c r="AG1052" s="18"/>
      <c r="AH1052" s="18"/>
      <c r="AI1052" s="18"/>
      <c r="AJ1052" s="18"/>
      <c r="AK1052" s="18"/>
      <c r="AL1052" s="18"/>
      <c r="AM1052" s="18"/>
      <c r="AN1052" s="18"/>
      <c r="AO1052" s="18"/>
      <c r="AP1052" s="18"/>
      <c r="AQ1052" s="18"/>
      <c r="AR1052" s="18"/>
      <c r="AS1052" s="18"/>
      <c r="AT1052" s="18"/>
      <c r="AU1052" s="18"/>
      <c r="AV1052" s="18"/>
      <c r="AW1052" s="18"/>
      <c r="AX1052" s="18"/>
      <c r="AY1052" s="18"/>
      <c r="AZ1052" s="18"/>
      <c r="BA1052" s="18"/>
      <c r="BB1052" s="18"/>
      <c r="BC1052" s="18"/>
    </row>
    <row r="1053" spans="1:55" ht="15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18"/>
      <c r="AF1053" s="18"/>
      <c r="AG1053" s="18"/>
      <c r="AH1053" s="18"/>
      <c r="AI1053" s="18"/>
      <c r="AJ1053" s="18"/>
      <c r="AK1053" s="18"/>
      <c r="AL1053" s="18"/>
      <c r="AM1053" s="18"/>
      <c r="AN1053" s="18"/>
      <c r="AO1053" s="18"/>
      <c r="AP1053" s="18"/>
      <c r="AQ1053" s="18"/>
      <c r="AR1053" s="18"/>
      <c r="AS1053" s="18"/>
      <c r="AT1053" s="18"/>
      <c r="AU1053" s="18"/>
      <c r="AV1053" s="18"/>
      <c r="AW1053" s="18"/>
      <c r="AX1053" s="18"/>
      <c r="AY1053" s="18"/>
      <c r="AZ1053" s="18"/>
      <c r="BA1053" s="18"/>
      <c r="BB1053" s="18"/>
      <c r="BC1053" s="18"/>
    </row>
    <row r="1054" spans="1:55" ht="15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  <c r="AE1054" s="18"/>
      <c r="AF1054" s="18"/>
      <c r="AG1054" s="18"/>
      <c r="AH1054" s="18"/>
      <c r="AI1054" s="18"/>
      <c r="AJ1054" s="18"/>
      <c r="AK1054" s="18"/>
      <c r="AL1054" s="18"/>
      <c r="AM1054" s="18"/>
      <c r="AN1054" s="18"/>
      <c r="AO1054" s="18"/>
      <c r="AP1054" s="18"/>
      <c r="AQ1054" s="18"/>
      <c r="AR1054" s="18"/>
      <c r="AS1054" s="18"/>
      <c r="AT1054" s="18"/>
      <c r="AU1054" s="18"/>
      <c r="AV1054" s="18"/>
      <c r="AW1054" s="18"/>
      <c r="AX1054" s="18"/>
      <c r="AY1054" s="18"/>
      <c r="AZ1054" s="18"/>
      <c r="BA1054" s="18"/>
      <c r="BB1054" s="18"/>
      <c r="BC1054" s="18"/>
    </row>
    <row r="1055" spans="1:55" ht="15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8"/>
      <c r="AF1055" s="18"/>
      <c r="AG1055" s="18"/>
      <c r="AH1055" s="18"/>
      <c r="AI1055" s="18"/>
      <c r="AJ1055" s="18"/>
      <c r="AK1055" s="18"/>
      <c r="AL1055" s="18"/>
      <c r="AM1055" s="18"/>
      <c r="AN1055" s="18"/>
      <c r="AO1055" s="18"/>
      <c r="AP1055" s="18"/>
      <c r="AQ1055" s="18"/>
      <c r="AR1055" s="18"/>
      <c r="AS1055" s="18"/>
      <c r="AT1055" s="18"/>
      <c r="AU1055" s="18"/>
      <c r="AV1055" s="18"/>
      <c r="AW1055" s="18"/>
      <c r="AX1055" s="18"/>
      <c r="AY1055" s="18"/>
      <c r="AZ1055" s="18"/>
      <c r="BA1055" s="18"/>
      <c r="BB1055" s="18"/>
      <c r="BC1055" s="18"/>
    </row>
    <row r="1056" spans="1:55" ht="15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  <c r="AA1056" s="18"/>
      <c r="AB1056" s="18"/>
      <c r="AC1056" s="18"/>
      <c r="AD1056" s="18"/>
      <c r="AE1056" s="18"/>
      <c r="AF1056" s="18"/>
      <c r="AG1056" s="18"/>
      <c r="AH1056" s="18"/>
      <c r="AI1056" s="18"/>
      <c r="AJ1056" s="18"/>
      <c r="AK1056" s="18"/>
      <c r="AL1056" s="18"/>
      <c r="AM1056" s="18"/>
      <c r="AN1056" s="18"/>
      <c r="AO1056" s="18"/>
      <c r="AP1056" s="18"/>
      <c r="AQ1056" s="18"/>
      <c r="AR1056" s="18"/>
      <c r="AS1056" s="18"/>
      <c r="AT1056" s="18"/>
      <c r="AU1056" s="18"/>
      <c r="AV1056" s="18"/>
      <c r="AW1056" s="18"/>
      <c r="AX1056" s="18"/>
      <c r="AY1056" s="18"/>
      <c r="AZ1056" s="18"/>
      <c r="BA1056" s="18"/>
      <c r="BB1056" s="18"/>
      <c r="BC1056" s="18"/>
    </row>
    <row r="1057" spans="1:55" ht="15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  <c r="AA1057" s="18"/>
      <c r="AB1057" s="18"/>
      <c r="AC1057" s="18"/>
      <c r="AD1057" s="18"/>
      <c r="AE1057" s="18"/>
      <c r="AF1057" s="18"/>
      <c r="AG1057" s="18"/>
      <c r="AH1057" s="18"/>
      <c r="AI1057" s="18"/>
      <c r="AJ1057" s="18"/>
      <c r="AK1057" s="18"/>
      <c r="AL1057" s="18"/>
      <c r="AM1057" s="18"/>
      <c r="AN1057" s="18"/>
      <c r="AO1057" s="18"/>
      <c r="AP1057" s="18"/>
      <c r="AQ1057" s="18"/>
      <c r="AR1057" s="18"/>
      <c r="AS1057" s="18"/>
      <c r="AT1057" s="18"/>
      <c r="AU1057" s="18"/>
      <c r="AV1057" s="18"/>
      <c r="AW1057" s="18"/>
      <c r="AX1057" s="18"/>
      <c r="AY1057" s="18"/>
      <c r="AZ1057" s="18"/>
      <c r="BA1057" s="18"/>
      <c r="BB1057" s="18"/>
      <c r="BC1057" s="18"/>
    </row>
    <row r="1058" spans="1:55" ht="15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  <c r="AA1058" s="18"/>
      <c r="AB1058" s="18"/>
      <c r="AC1058" s="18"/>
      <c r="AD1058" s="18"/>
      <c r="AE1058" s="18"/>
      <c r="AF1058" s="18"/>
      <c r="AG1058" s="18"/>
      <c r="AH1058" s="18"/>
      <c r="AI1058" s="18"/>
      <c r="AJ1058" s="18"/>
      <c r="AK1058" s="18"/>
      <c r="AL1058" s="18"/>
      <c r="AM1058" s="18"/>
      <c r="AN1058" s="18"/>
      <c r="AO1058" s="18"/>
      <c r="AP1058" s="18"/>
      <c r="AQ1058" s="18"/>
      <c r="AR1058" s="18"/>
      <c r="AS1058" s="18"/>
      <c r="AT1058" s="18"/>
      <c r="AU1058" s="18"/>
      <c r="AV1058" s="18"/>
      <c r="AW1058" s="18"/>
      <c r="AX1058" s="18"/>
      <c r="AY1058" s="18"/>
      <c r="AZ1058" s="18"/>
      <c r="BA1058" s="18"/>
      <c r="BB1058" s="18"/>
      <c r="BC1058" s="18"/>
    </row>
    <row r="1059" spans="1:55" ht="15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  <c r="AD1059" s="18"/>
      <c r="AE1059" s="18"/>
      <c r="AF1059" s="18"/>
      <c r="AG1059" s="18"/>
      <c r="AH1059" s="18"/>
      <c r="AI1059" s="18"/>
      <c r="AJ1059" s="18"/>
      <c r="AK1059" s="18"/>
      <c r="AL1059" s="18"/>
      <c r="AM1059" s="18"/>
      <c r="AN1059" s="18"/>
      <c r="AO1059" s="18"/>
      <c r="AP1059" s="18"/>
      <c r="AQ1059" s="18"/>
      <c r="AR1059" s="18"/>
      <c r="AS1059" s="18"/>
      <c r="AT1059" s="18"/>
      <c r="AU1059" s="18"/>
      <c r="AV1059" s="18"/>
      <c r="AW1059" s="18"/>
      <c r="AX1059" s="18"/>
      <c r="AY1059" s="18"/>
      <c r="AZ1059" s="18"/>
      <c r="BA1059" s="18"/>
      <c r="BB1059" s="18"/>
      <c r="BC1059" s="18"/>
    </row>
    <row r="1060" spans="1:55" ht="15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  <c r="AA1060" s="18"/>
      <c r="AB1060" s="18"/>
      <c r="AC1060" s="18"/>
      <c r="AD1060" s="18"/>
      <c r="AE1060" s="18"/>
      <c r="AF1060" s="18"/>
      <c r="AG1060" s="18"/>
      <c r="AH1060" s="18"/>
      <c r="AI1060" s="18"/>
      <c r="AJ1060" s="18"/>
      <c r="AK1060" s="18"/>
      <c r="AL1060" s="18"/>
      <c r="AM1060" s="18"/>
      <c r="AN1060" s="18"/>
      <c r="AO1060" s="18"/>
      <c r="AP1060" s="18"/>
      <c r="AQ1060" s="18"/>
      <c r="AR1060" s="18"/>
      <c r="AS1060" s="18"/>
      <c r="AT1060" s="18"/>
      <c r="AU1060" s="18"/>
      <c r="AV1060" s="18"/>
      <c r="AW1060" s="18"/>
      <c r="AX1060" s="18"/>
      <c r="AY1060" s="18"/>
      <c r="AZ1060" s="18"/>
      <c r="BA1060" s="18"/>
      <c r="BB1060" s="18"/>
      <c r="BC1060" s="18"/>
    </row>
    <row r="1061" spans="1:55" ht="15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8"/>
      <c r="AF1061" s="18"/>
      <c r="AG1061" s="18"/>
      <c r="AH1061" s="18"/>
      <c r="AI1061" s="18"/>
      <c r="AJ1061" s="18"/>
      <c r="AK1061" s="18"/>
      <c r="AL1061" s="18"/>
      <c r="AM1061" s="18"/>
      <c r="AN1061" s="18"/>
      <c r="AO1061" s="18"/>
      <c r="AP1061" s="18"/>
      <c r="AQ1061" s="18"/>
      <c r="AR1061" s="18"/>
      <c r="AS1061" s="18"/>
      <c r="AT1061" s="18"/>
      <c r="AU1061" s="18"/>
      <c r="AV1061" s="18"/>
      <c r="AW1061" s="18"/>
      <c r="AX1061" s="18"/>
      <c r="AY1061" s="18"/>
      <c r="AZ1061" s="18"/>
      <c r="BA1061" s="18"/>
      <c r="BB1061" s="18"/>
      <c r="BC1061" s="18"/>
    </row>
    <row r="1062" spans="1:55" ht="15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  <c r="AA1062" s="18"/>
      <c r="AB1062" s="18"/>
      <c r="AC1062" s="18"/>
      <c r="AD1062" s="18"/>
      <c r="AE1062" s="18"/>
      <c r="AF1062" s="18"/>
      <c r="AG1062" s="18"/>
      <c r="AH1062" s="18"/>
      <c r="AI1062" s="18"/>
      <c r="AJ1062" s="18"/>
      <c r="AK1062" s="18"/>
      <c r="AL1062" s="18"/>
      <c r="AM1062" s="18"/>
      <c r="AN1062" s="18"/>
      <c r="AO1062" s="18"/>
      <c r="AP1062" s="18"/>
      <c r="AQ1062" s="18"/>
      <c r="AR1062" s="18"/>
      <c r="AS1062" s="18"/>
      <c r="AT1062" s="18"/>
      <c r="AU1062" s="18"/>
      <c r="AV1062" s="18"/>
      <c r="AW1062" s="18"/>
      <c r="AX1062" s="18"/>
      <c r="AY1062" s="18"/>
      <c r="AZ1062" s="18"/>
      <c r="BA1062" s="18"/>
      <c r="BB1062" s="18"/>
      <c r="BC1062" s="18"/>
    </row>
    <row r="1063" spans="1:55" ht="15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  <c r="AE1063" s="18"/>
      <c r="AF1063" s="18"/>
      <c r="AG1063" s="18"/>
      <c r="AH1063" s="18"/>
      <c r="AI1063" s="18"/>
      <c r="AJ1063" s="18"/>
      <c r="AK1063" s="18"/>
      <c r="AL1063" s="18"/>
      <c r="AM1063" s="18"/>
      <c r="AN1063" s="18"/>
      <c r="AO1063" s="18"/>
      <c r="AP1063" s="18"/>
      <c r="AQ1063" s="18"/>
      <c r="AR1063" s="18"/>
      <c r="AS1063" s="18"/>
      <c r="AT1063" s="18"/>
      <c r="AU1063" s="18"/>
      <c r="AV1063" s="18"/>
      <c r="AW1063" s="18"/>
      <c r="AX1063" s="18"/>
      <c r="AY1063" s="18"/>
      <c r="AZ1063" s="18"/>
      <c r="BA1063" s="18"/>
      <c r="BB1063" s="18"/>
      <c r="BC1063" s="18"/>
    </row>
    <row r="1064" spans="1:55" ht="15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  <c r="AA1064" s="18"/>
      <c r="AB1064" s="18"/>
      <c r="AC1064" s="18"/>
      <c r="AD1064" s="18"/>
      <c r="AE1064" s="18"/>
      <c r="AF1064" s="18"/>
      <c r="AG1064" s="18"/>
      <c r="AH1064" s="18"/>
      <c r="AI1064" s="18"/>
      <c r="AJ1064" s="18"/>
      <c r="AK1064" s="18"/>
      <c r="AL1064" s="18"/>
      <c r="AM1064" s="18"/>
      <c r="AN1064" s="18"/>
      <c r="AO1064" s="18"/>
      <c r="AP1064" s="18"/>
      <c r="AQ1064" s="18"/>
      <c r="AR1064" s="18"/>
      <c r="AS1064" s="18"/>
      <c r="AT1064" s="18"/>
      <c r="AU1064" s="18"/>
      <c r="AV1064" s="18"/>
      <c r="AW1064" s="18"/>
      <c r="AX1064" s="18"/>
      <c r="AY1064" s="18"/>
      <c r="AZ1064" s="18"/>
      <c r="BA1064" s="18"/>
      <c r="BB1064" s="18"/>
      <c r="BC1064" s="18"/>
    </row>
    <row r="1065" spans="1:55" ht="15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/>
      <c r="AD1065" s="18"/>
      <c r="AE1065" s="18"/>
      <c r="AF1065" s="18"/>
      <c r="AG1065" s="18"/>
      <c r="AH1065" s="18"/>
      <c r="AI1065" s="18"/>
      <c r="AJ1065" s="18"/>
      <c r="AK1065" s="18"/>
      <c r="AL1065" s="18"/>
      <c r="AM1065" s="18"/>
      <c r="AN1065" s="18"/>
      <c r="AO1065" s="18"/>
      <c r="AP1065" s="18"/>
      <c r="AQ1065" s="18"/>
      <c r="AR1065" s="18"/>
      <c r="AS1065" s="18"/>
      <c r="AT1065" s="18"/>
      <c r="AU1065" s="18"/>
      <c r="AV1065" s="18"/>
      <c r="AW1065" s="18"/>
      <c r="AX1065" s="18"/>
      <c r="AY1065" s="18"/>
      <c r="AZ1065" s="18"/>
      <c r="BA1065" s="18"/>
      <c r="BB1065" s="18"/>
      <c r="BC1065" s="18"/>
    </row>
    <row r="1066" spans="1:55" ht="15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18"/>
      <c r="AF1066" s="18"/>
      <c r="AG1066" s="18"/>
      <c r="AH1066" s="18"/>
      <c r="AI1066" s="18"/>
      <c r="AJ1066" s="18"/>
      <c r="AK1066" s="18"/>
      <c r="AL1066" s="18"/>
      <c r="AM1066" s="18"/>
      <c r="AN1066" s="18"/>
      <c r="AO1066" s="18"/>
      <c r="AP1066" s="18"/>
      <c r="AQ1066" s="18"/>
      <c r="AR1066" s="18"/>
      <c r="AS1066" s="18"/>
      <c r="AT1066" s="18"/>
      <c r="AU1066" s="18"/>
      <c r="AV1066" s="18"/>
      <c r="AW1066" s="18"/>
      <c r="AX1066" s="18"/>
      <c r="AY1066" s="18"/>
      <c r="AZ1066" s="18"/>
      <c r="BA1066" s="18"/>
      <c r="BB1066" s="18"/>
      <c r="BC1066" s="18"/>
    </row>
    <row r="1067" spans="1:55" ht="15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/>
      <c r="AD1067" s="18"/>
      <c r="AE1067" s="18"/>
      <c r="AF1067" s="18"/>
      <c r="AG1067" s="18"/>
      <c r="AH1067" s="18"/>
      <c r="AI1067" s="18"/>
      <c r="AJ1067" s="18"/>
      <c r="AK1067" s="18"/>
      <c r="AL1067" s="18"/>
      <c r="AM1067" s="18"/>
      <c r="AN1067" s="18"/>
      <c r="AO1067" s="18"/>
      <c r="AP1067" s="18"/>
      <c r="AQ1067" s="18"/>
      <c r="AR1067" s="18"/>
      <c r="AS1067" s="18"/>
      <c r="AT1067" s="18"/>
      <c r="AU1067" s="18"/>
      <c r="AV1067" s="18"/>
      <c r="AW1067" s="18"/>
      <c r="AX1067" s="18"/>
      <c r="AY1067" s="18"/>
      <c r="AZ1067" s="18"/>
      <c r="BA1067" s="18"/>
      <c r="BB1067" s="18"/>
      <c r="BC1067" s="18"/>
    </row>
    <row r="1068" spans="1:55" ht="15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  <c r="AA1068" s="18"/>
      <c r="AB1068" s="18"/>
      <c r="AC1068" s="18"/>
      <c r="AD1068" s="18"/>
      <c r="AE1068" s="18"/>
      <c r="AF1068" s="18"/>
      <c r="AG1068" s="18"/>
      <c r="AH1068" s="18"/>
      <c r="AI1068" s="18"/>
      <c r="AJ1068" s="18"/>
      <c r="AK1068" s="18"/>
      <c r="AL1068" s="18"/>
      <c r="AM1068" s="18"/>
      <c r="AN1068" s="18"/>
      <c r="AO1068" s="18"/>
      <c r="AP1068" s="18"/>
      <c r="AQ1068" s="18"/>
      <c r="AR1068" s="18"/>
      <c r="AS1068" s="18"/>
      <c r="AT1068" s="18"/>
      <c r="AU1068" s="18"/>
      <c r="AV1068" s="18"/>
      <c r="AW1068" s="18"/>
      <c r="AX1068" s="18"/>
      <c r="AY1068" s="18"/>
      <c r="AZ1068" s="18"/>
      <c r="BA1068" s="18"/>
      <c r="BB1068" s="18"/>
      <c r="BC1068" s="18"/>
    </row>
    <row r="1069" spans="1:55" ht="15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  <c r="AA1069" s="18"/>
      <c r="AB1069" s="18"/>
      <c r="AC1069" s="18"/>
      <c r="AD1069" s="18"/>
      <c r="AE1069" s="18"/>
      <c r="AF1069" s="18"/>
      <c r="AG1069" s="18"/>
      <c r="AH1069" s="18"/>
      <c r="AI1069" s="18"/>
      <c r="AJ1069" s="18"/>
      <c r="AK1069" s="18"/>
      <c r="AL1069" s="18"/>
      <c r="AM1069" s="18"/>
      <c r="AN1069" s="18"/>
      <c r="AO1069" s="18"/>
      <c r="AP1069" s="18"/>
      <c r="AQ1069" s="18"/>
      <c r="AR1069" s="18"/>
      <c r="AS1069" s="18"/>
      <c r="AT1069" s="18"/>
      <c r="AU1069" s="18"/>
      <c r="AV1069" s="18"/>
      <c r="AW1069" s="18"/>
      <c r="AX1069" s="18"/>
      <c r="AY1069" s="18"/>
      <c r="AZ1069" s="18"/>
      <c r="BA1069" s="18"/>
      <c r="BB1069" s="18"/>
      <c r="BC1069" s="18"/>
    </row>
    <row r="1070" spans="1:55" ht="15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  <c r="AE1070" s="18"/>
      <c r="AF1070" s="18"/>
      <c r="AG1070" s="18"/>
      <c r="AH1070" s="18"/>
      <c r="AI1070" s="18"/>
      <c r="AJ1070" s="18"/>
      <c r="AK1070" s="18"/>
      <c r="AL1070" s="18"/>
      <c r="AM1070" s="18"/>
      <c r="AN1070" s="18"/>
      <c r="AO1070" s="18"/>
      <c r="AP1070" s="18"/>
      <c r="AQ1070" s="18"/>
      <c r="AR1070" s="18"/>
      <c r="AS1070" s="18"/>
      <c r="AT1070" s="18"/>
      <c r="AU1070" s="18"/>
      <c r="AV1070" s="18"/>
      <c r="AW1070" s="18"/>
      <c r="AX1070" s="18"/>
      <c r="AY1070" s="18"/>
      <c r="AZ1070" s="18"/>
      <c r="BA1070" s="18"/>
      <c r="BB1070" s="18"/>
      <c r="BC1070" s="18"/>
    </row>
    <row r="1071" spans="1:55" ht="15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  <c r="AD1071" s="18"/>
      <c r="AE1071" s="18"/>
      <c r="AF1071" s="18"/>
      <c r="AG1071" s="18"/>
      <c r="AH1071" s="18"/>
      <c r="AI1071" s="18"/>
      <c r="AJ1071" s="18"/>
      <c r="AK1071" s="18"/>
      <c r="AL1071" s="18"/>
      <c r="AM1071" s="18"/>
      <c r="AN1071" s="18"/>
      <c r="AO1071" s="18"/>
      <c r="AP1071" s="18"/>
      <c r="AQ1071" s="18"/>
      <c r="AR1071" s="18"/>
      <c r="AS1071" s="18"/>
      <c r="AT1071" s="18"/>
      <c r="AU1071" s="18"/>
      <c r="AV1071" s="18"/>
      <c r="AW1071" s="18"/>
      <c r="AX1071" s="18"/>
      <c r="AY1071" s="18"/>
      <c r="AZ1071" s="18"/>
      <c r="BA1071" s="18"/>
      <c r="BB1071" s="18"/>
      <c r="BC1071" s="18"/>
    </row>
    <row r="1072" spans="1:55" ht="15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  <c r="AD1072" s="18"/>
      <c r="AE1072" s="18"/>
      <c r="AF1072" s="18"/>
      <c r="AG1072" s="18"/>
      <c r="AH1072" s="18"/>
      <c r="AI1072" s="18"/>
      <c r="AJ1072" s="18"/>
      <c r="AK1072" s="18"/>
      <c r="AL1072" s="18"/>
      <c r="AM1072" s="18"/>
      <c r="AN1072" s="18"/>
      <c r="AO1072" s="18"/>
      <c r="AP1072" s="18"/>
      <c r="AQ1072" s="18"/>
      <c r="AR1072" s="18"/>
      <c r="AS1072" s="18"/>
      <c r="AT1072" s="18"/>
      <c r="AU1072" s="18"/>
      <c r="AV1072" s="18"/>
      <c r="AW1072" s="18"/>
      <c r="AX1072" s="18"/>
      <c r="AY1072" s="18"/>
      <c r="AZ1072" s="18"/>
      <c r="BA1072" s="18"/>
      <c r="BB1072" s="18"/>
      <c r="BC1072" s="18"/>
    </row>
    <row r="1073" spans="1:55" ht="15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  <c r="AA1073" s="18"/>
      <c r="AB1073" s="18"/>
      <c r="AC1073" s="18"/>
      <c r="AD1073" s="18"/>
      <c r="AE1073" s="18"/>
      <c r="AF1073" s="18"/>
      <c r="AG1073" s="18"/>
      <c r="AH1073" s="18"/>
      <c r="AI1073" s="18"/>
      <c r="AJ1073" s="18"/>
      <c r="AK1073" s="18"/>
      <c r="AL1073" s="18"/>
      <c r="AM1073" s="18"/>
      <c r="AN1073" s="18"/>
      <c r="AO1073" s="18"/>
      <c r="AP1073" s="18"/>
      <c r="AQ1073" s="18"/>
      <c r="AR1073" s="18"/>
      <c r="AS1073" s="18"/>
      <c r="AT1073" s="18"/>
      <c r="AU1073" s="18"/>
      <c r="AV1073" s="18"/>
      <c r="AW1073" s="18"/>
      <c r="AX1073" s="18"/>
      <c r="AY1073" s="18"/>
      <c r="AZ1073" s="18"/>
      <c r="BA1073" s="18"/>
      <c r="BB1073" s="18"/>
      <c r="BC1073" s="18"/>
    </row>
    <row r="1074" spans="1:55" ht="15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  <c r="AD1074" s="18"/>
      <c r="AE1074" s="18"/>
      <c r="AF1074" s="18"/>
      <c r="AG1074" s="18"/>
      <c r="AH1074" s="18"/>
      <c r="AI1074" s="18"/>
      <c r="AJ1074" s="18"/>
      <c r="AK1074" s="18"/>
      <c r="AL1074" s="18"/>
      <c r="AM1074" s="18"/>
      <c r="AN1074" s="18"/>
      <c r="AO1074" s="18"/>
      <c r="AP1074" s="18"/>
      <c r="AQ1074" s="18"/>
      <c r="AR1074" s="18"/>
      <c r="AS1074" s="18"/>
      <c r="AT1074" s="18"/>
      <c r="AU1074" s="18"/>
      <c r="AV1074" s="18"/>
      <c r="AW1074" s="18"/>
      <c r="AX1074" s="18"/>
      <c r="AY1074" s="18"/>
      <c r="AZ1074" s="18"/>
      <c r="BA1074" s="18"/>
      <c r="BB1074" s="18"/>
      <c r="BC1074" s="18"/>
    </row>
    <row r="1075" spans="1:55" ht="15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/>
      <c r="X1075" s="18"/>
      <c r="Y1075" s="18"/>
      <c r="Z1075" s="18"/>
      <c r="AA1075" s="18"/>
      <c r="AB1075" s="18"/>
      <c r="AC1075" s="18"/>
      <c r="AD1075" s="18"/>
      <c r="AE1075" s="18"/>
      <c r="AF1075" s="18"/>
      <c r="AG1075" s="18"/>
      <c r="AH1075" s="18"/>
      <c r="AI1075" s="18"/>
      <c r="AJ1075" s="18"/>
      <c r="AK1075" s="18"/>
      <c r="AL1075" s="18"/>
      <c r="AM1075" s="18"/>
      <c r="AN1075" s="18"/>
      <c r="AO1075" s="18"/>
      <c r="AP1075" s="18"/>
      <c r="AQ1075" s="18"/>
      <c r="AR1075" s="18"/>
      <c r="AS1075" s="18"/>
      <c r="AT1075" s="18"/>
      <c r="AU1075" s="18"/>
      <c r="AV1075" s="18"/>
      <c r="AW1075" s="18"/>
      <c r="AX1075" s="18"/>
      <c r="AY1075" s="18"/>
      <c r="AZ1075" s="18"/>
      <c r="BA1075" s="18"/>
      <c r="BB1075" s="18"/>
      <c r="BC1075" s="18"/>
    </row>
    <row r="1076" spans="1:55" ht="15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  <c r="W1076" s="18"/>
      <c r="X1076" s="18"/>
      <c r="Y1076" s="18"/>
      <c r="Z1076" s="18"/>
      <c r="AA1076" s="18"/>
      <c r="AB1076" s="18"/>
      <c r="AC1076" s="18"/>
      <c r="AD1076" s="18"/>
      <c r="AE1076" s="18"/>
      <c r="AF1076" s="18"/>
      <c r="AG1076" s="18"/>
      <c r="AH1076" s="18"/>
      <c r="AI1076" s="18"/>
      <c r="AJ1076" s="18"/>
      <c r="AK1076" s="18"/>
      <c r="AL1076" s="18"/>
      <c r="AM1076" s="18"/>
      <c r="AN1076" s="18"/>
      <c r="AO1076" s="18"/>
      <c r="AP1076" s="18"/>
      <c r="AQ1076" s="18"/>
      <c r="AR1076" s="18"/>
      <c r="AS1076" s="18"/>
      <c r="AT1076" s="18"/>
      <c r="AU1076" s="18"/>
      <c r="AV1076" s="18"/>
      <c r="AW1076" s="18"/>
      <c r="AX1076" s="18"/>
      <c r="AY1076" s="18"/>
      <c r="AZ1076" s="18"/>
      <c r="BA1076" s="18"/>
      <c r="BB1076" s="18"/>
      <c r="BC1076" s="18"/>
    </row>
    <row r="1077" spans="1:55" ht="15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  <c r="AA1077" s="18"/>
      <c r="AB1077" s="18"/>
      <c r="AC1077" s="18"/>
      <c r="AD1077" s="18"/>
      <c r="AE1077" s="18"/>
      <c r="AF1077" s="18"/>
      <c r="AG1077" s="18"/>
      <c r="AH1077" s="18"/>
      <c r="AI1077" s="18"/>
      <c r="AJ1077" s="18"/>
      <c r="AK1077" s="18"/>
      <c r="AL1077" s="18"/>
      <c r="AM1077" s="18"/>
      <c r="AN1077" s="18"/>
      <c r="AO1077" s="18"/>
      <c r="AP1077" s="18"/>
      <c r="AQ1077" s="18"/>
      <c r="AR1077" s="18"/>
      <c r="AS1077" s="18"/>
      <c r="AT1077" s="18"/>
      <c r="AU1077" s="18"/>
      <c r="AV1077" s="18"/>
      <c r="AW1077" s="18"/>
      <c r="AX1077" s="18"/>
      <c r="AY1077" s="18"/>
      <c r="AZ1077" s="18"/>
      <c r="BA1077" s="18"/>
      <c r="BB1077" s="18"/>
      <c r="BC1077" s="18"/>
    </row>
    <row r="1078" spans="1:55" ht="15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/>
      <c r="X1078" s="18"/>
      <c r="Y1078" s="18"/>
      <c r="Z1078" s="18"/>
      <c r="AA1078" s="18"/>
      <c r="AB1078" s="18"/>
      <c r="AC1078" s="18"/>
      <c r="AD1078" s="18"/>
      <c r="AE1078" s="18"/>
      <c r="AF1078" s="18"/>
      <c r="AG1078" s="18"/>
      <c r="AH1078" s="18"/>
      <c r="AI1078" s="18"/>
      <c r="AJ1078" s="18"/>
      <c r="AK1078" s="18"/>
      <c r="AL1078" s="18"/>
      <c r="AM1078" s="18"/>
      <c r="AN1078" s="18"/>
      <c r="AO1078" s="18"/>
      <c r="AP1078" s="18"/>
      <c r="AQ1078" s="18"/>
      <c r="AR1078" s="18"/>
      <c r="AS1078" s="18"/>
      <c r="AT1078" s="18"/>
      <c r="AU1078" s="18"/>
      <c r="AV1078" s="18"/>
      <c r="AW1078" s="18"/>
      <c r="AX1078" s="18"/>
      <c r="AY1078" s="18"/>
      <c r="AZ1078" s="18"/>
      <c r="BA1078" s="18"/>
      <c r="BB1078" s="18"/>
      <c r="BC1078" s="18"/>
    </row>
    <row r="1079" spans="1:55" ht="15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8"/>
      <c r="Y1079" s="18"/>
      <c r="Z1079" s="18"/>
      <c r="AA1079" s="18"/>
      <c r="AB1079" s="18"/>
      <c r="AC1079" s="18"/>
      <c r="AD1079" s="18"/>
      <c r="AE1079" s="18"/>
      <c r="AF1079" s="18"/>
      <c r="AG1079" s="18"/>
      <c r="AH1079" s="18"/>
      <c r="AI1079" s="18"/>
      <c r="AJ1079" s="18"/>
      <c r="AK1079" s="18"/>
      <c r="AL1079" s="18"/>
      <c r="AM1079" s="18"/>
      <c r="AN1079" s="18"/>
      <c r="AO1079" s="18"/>
      <c r="AP1079" s="18"/>
      <c r="AQ1079" s="18"/>
      <c r="AR1079" s="18"/>
      <c r="AS1079" s="18"/>
      <c r="AT1079" s="18"/>
      <c r="AU1079" s="18"/>
      <c r="AV1079" s="18"/>
      <c r="AW1079" s="18"/>
      <c r="AX1079" s="18"/>
      <c r="AY1079" s="18"/>
      <c r="AZ1079" s="18"/>
      <c r="BA1079" s="18"/>
      <c r="BB1079" s="18"/>
      <c r="BC1079" s="18"/>
    </row>
    <row r="1080" spans="1:55" ht="15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  <c r="R1080" s="18"/>
      <c r="S1080" s="18"/>
      <c r="T1080" s="18"/>
      <c r="U1080" s="18"/>
      <c r="V1080" s="18"/>
      <c r="W1080" s="18"/>
      <c r="X1080" s="18"/>
      <c r="Y1080" s="18"/>
      <c r="Z1080" s="18"/>
      <c r="AA1080" s="18"/>
      <c r="AB1080" s="18"/>
      <c r="AC1080" s="18"/>
      <c r="AD1080" s="18"/>
      <c r="AE1080" s="18"/>
      <c r="AF1080" s="18"/>
      <c r="AG1080" s="18"/>
      <c r="AH1080" s="18"/>
      <c r="AI1080" s="18"/>
      <c r="AJ1080" s="18"/>
      <c r="AK1080" s="18"/>
      <c r="AL1080" s="18"/>
      <c r="AM1080" s="18"/>
      <c r="AN1080" s="18"/>
      <c r="AO1080" s="18"/>
      <c r="AP1080" s="18"/>
      <c r="AQ1080" s="18"/>
      <c r="AR1080" s="18"/>
      <c r="AS1080" s="18"/>
      <c r="AT1080" s="18"/>
      <c r="AU1080" s="18"/>
      <c r="AV1080" s="18"/>
      <c r="AW1080" s="18"/>
      <c r="AX1080" s="18"/>
      <c r="AY1080" s="18"/>
      <c r="AZ1080" s="18"/>
      <c r="BA1080" s="18"/>
      <c r="BB1080" s="18"/>
      <c r="BC1080" s="18"/>
    </row>
    <row r="1081" spans="1:55" ht="15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  <c r="W1081" s="18"/>
      <c r="X1081" s="18"/>
      <c r="Y1081" s="18"/>
      <c r="Z1081" s="18"/>
      <c r="AA1081" s="18"/>
      <c r="AB1081" s="18"/>
      <c r="AC1081" s="18"/>
      <c r="AD1081" s="18"/>
      <c r="AE1081" s="18"/>
      <c r="AF1081" s="18"/>
      <c r="AG1081" s="18"/>
      <c r="AH1081" s="18"/>
      <c r="AI1081" s="18"/>
      <c r="AJ1081" s="18"/>
      <c r="AK1081" s="18"/>
      <c r="AL1081" s="18"/>
      <c r="AM1081" s="18"/>
      <c r="AN1081" s="18"/>
      <c r="AO1081" s="18"/>
      <c r="AP1081" s="18"/>
      <c r="AQ1081" s="18"/>
      <c r="AR1081" s="18"/>
      <c r="AS1081" s="18"/>
      <c r="AT1081" s="18"/>
      <c r="AU1081" s="18"/>
      <c r="AV1081" s="18"/>
      <c r="AW1081" s="18"/>
      <c r="AX1081" s="18"/>
      <c r="AY1081" s="18"/>
      <c r="AZ1081" s="18"/>
      <c r="BA1081" s="18"/>
      <c r="BB1081" s="18"/>
      <c r="BC1081" s="18"/>
    </row>
    <row r="1082" spans="1:55" ht="15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  <c r="V1082" s="18"/>
      <c r="W1082" s="18"/>
      <c r="X1082" s="18"/>
      <c r="Y1082" s="18"/>
      <c r="Z1082" s="18"/>
      <c r="AA1082" s="18"/>
      <c r="AB1082" s="18"/>
      <c r="AC1082" s="18"/>
      <c r="AD1082" s="18"/>
      <c r="AE1082" s="18"/>
      <c r="AF1082" s="18"/>
      <c r="AG1082" s="18"/>
      <c r="AH1082" s="18"/>
      <c r="AI1082" s="18"/>
      <c r="AJ1082" s="18"/>
      <c r="AK1082" s="18"/>
      <c r="AL1082" s="18"/>
      <c r="AM1082" s="18"/>
      <c r="AN1082" s="18"/>
      <c r="AO1082" s="18"/>
      <c r="AP1082" s="18"/>
      <c r="AQ1082" s="18"/>
      <c r="AR1082" s="18"/>
      <c r="AS1082" s="18"/>
      <c r="AT1082" s="18"/>
      <c r="AU1082" s="18"/>
      <c r="AV1082" s="18"/>
      <c r="AW1082" s="18"/>
      <c r="AX1082" s="18"/>
      <c r="AY1082" s="18"/>
      <c r="AZ1082" s="18"/>
      <c r="BA1082" s="18"/>
      <c r="BB1082" s="18"/>
      <c r="BC1082" s="18"/>
    </row>
    <row r="1083" spans="1:55" ht="15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8"/>
      <c r="X1083" s="18"/>
      <c r="Y1083" s="18"/>
      <c r="Z1083" s="18"/>
      <c r="AA1083" s="18"/>
      <c r="AB1083" s="18"/>
      <c r="AC1083" s="18"/>
      <c r="AD1083" s="18"/>
      <c r="AE1083" s="18"/>
      <c r="AF1083" s="18"/>
      <c r="AG1083" s="18"/>
      <c r="AH1083" s="18"/>
      <c r="AI1083" s="18"/>
      <c r="AJ1083" s="18"/>
      <c r="AK1083" s="18"/>
      <c r="AL1083" s="18"/>
      <c r="AM1083" s="18"/>
      <c r="AN1083" s="18"/>
      <c r="AO1083" s="18"/>
      <c r="AP1083" s="18"/>
      <c r="AQ1083" s="18"/>
      <c r="AR1083" s="18"/>
      <c r="AS1083" s="18"/>
      <c r="AT1083" s="18"/>
      <c r="AU1083" s="18"/>
      <c r="AV1083" s="18"/>
      <c r="AW1083" s="18"/>
      <c r="AX1083" s="18"/>
      <c r="AY1083" s="18"/>
      <c r="AZ1083" s="18"/>
      <c r="BA1083" s="18"/>
      <c r="BB1083" s="18"/>
      <c r="BC1083" s="18"/>
    </row>
    <row r="1084" spans="1:55" ht="15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  <c r="AA1084" s="18"/>
      <c r="AB1084" s="18"/>
      <c r="AC1084" s="18"/>
      <c r="AD1084" s="18"/>
      <c r="AE1084" s="18"/>
      <c r="AF1084" s="18"/>
      <c r="AG1084" s="18"/>
      <c r="AH1084" s="18"/>
      <c r="AI1084" s="18"/>
      <c r="AJ1084" s="18"/>
      <c r="AK1084" s="18"/>
      <c r="AL1084" s="18"/>
      <c r="AM1084" s="18"/>
      <c r="AN1084" s="18"/>
      <c r="AO1084" s="18"/>
      <c r="AP1084" s="18"/>
      <c r="AQ1084" s="18"/>
      <c r="AR1084" s="18"/>
      <c r="AS1084" s="18"/>
      <c r="AT1084" s="18"/>
      <c r="AU1084" s="18"/>
      <c r="AV1084" s="18"/>
      <c r="AW1084" s="18"/>
      <c r="AX1084" s="18"/>
      <c r="AY1084" s="18"/>
      <c r="AZ1084" s="18"/>
      <c r="BA1084" s="18"/>
      <c r="BB1084" s="18"/>
      <c r="BC1084" s="18"/>
    </row>
    <row r="1085" spans="1:55" ht="15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  <c r="X1085" s="18"/>
      <c r="Y1085" s="18"/>
      <c r="Z1085" s="18"/>
      <c r="AA1085" s="18"/>
      <c r="AB1085" s="18"/>
      <c r="AC1085" s="18"/>
      <c r="AD1085" s="18"/>
      <c r="AE1085" s="18"/>
      <c r="AF1085" s="18"/>
      <c r="AG1085" s="18"/>
      <c r="AH1085" s="18"/>
      <c r="AI1085" s="18"/>
      <c r="AJ1085" s="18"/>
      <c r="AK1085" s="18"/>
      <c r="AL1085" s="18"/>
      <c r="AM1085" s="18"/>
      <c r="AN1085" s="18"/>
      <c r="AO1085" s="18"/>
      <c r="AP1085" s="18"/>
      <c r="AQ1085" s="18"/>
      <c r="AR1085" s="18"/>
      <c r="AS1085" s="18"/>
      <c r="AT1085" s="18"/>
      <c r="AU1085" s="18"/>
      <c r="AV1085" s="18"/>
      <c r="AW1085" s="18"/>
      <c r="AX1085" s="18"/>
      <c r="AY1085" s="18"/>
      <c r="AZ1085" s="18"/>
      <c r="BA1085" s="18"/>
      <c r="BB1085" s="18"/>
      <c r="BC1085" s="18"/>
    </row>
    <row r="1086" spans="1:55" ht="15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  <c r="AD1086" s="18"/>
      <c r="AE1086" s="18"/>
      <c r="AF1086" s="18"/>
      <c r="AG1086" s="18"/>
      <c r="AH1086" s="18"/>
      <c r="AI1086" s="18"/>
      <c r="AJ1086" s="18"/>
      <c r="AK1086" s="18"/>
      <c r="AL1086" s="18"/>
      <c r="AM1086" s="18"/>
      <c r="AN1086" s="18"/>
      <c r="AO1086" s="18"/>
      <c r="AP1086" s="18"/>
      <c r="AQ1086" s="18"/>
      <c r="AR1086" s="18"/>
      <c r="AS1086" s="18"/>
      <c r="AT1086" s="18"/>
      <c r="AU1086" s="18"/>
      <c r="AV1086" s="18"/>
      <c r="AW1086" s="18"/>
      <c r="AX1086" s="18"/>
      <c r="AY1086" s="18"/>
      <c r="AZ1086" s="18"/>
      <c r="BA1086" s="18"/>
      <c r="BB1086" s="18"/>
      <c r="BC1086" s="18"/>
    </row>
    <row r="1087" spans="1:55" ht="15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  <c r="AA1087" s="18"/>
      <c r="AB1087" s="18"/>
      <c r="AC1087" s="18"/>
      <c r="AD1087" s="18"/>
      <c r="AE1087" s="18"/>
      <c r="AF1087" s="18"/>
      <c r="AG1087" s="18"/>
      <c r="AH1087" s="18"/>
      <c r="AI1087" s="18"/>
      <c r="AJ1087" s="18"/>
      <c r="AK1087" s="18"/>
      <c r="AL1087" s="18"/>
      <c r="AM1087" s="18"/>
      <c r="AN1087" s="18"/>
      <c r="AO1087" s="18"/>
      <c r="AP1087" s="18"/>
      <c r="AQ1087" s="18"/>
      <c r="AR1087" s="18"/>
      <c r="AS1087" s="18"/>
      <c r="AT1087" s="18"/>
      <c r="AU1087" s="18"/>
      <c r="AV1087" s="18"/>
      <c r="AW1087" s="18"/>
      <c r="AX1087" s="18"/>
      <c r="AY1087" s="18"/>
      <c r="AZ1087" s="18"/>
      <c r="BA1087" s="18"/>
      <c r="BB1087" s="18"/>
      <c r="BC1087" s="18"/>
    </row>
    <row r="1088" spans="1:55" ht="15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  <c r="X1088" s="18"/>
      <c r="Y1088" s="18"/>
      <c r="Z1088" s="18"/>
      <c r="AA1088" s="18"/>
      <c r="AB1088" s="18"/>
      <c r="AC1088" s="18"/>
      <c r="AD1088" s="18"/>
      <c r="AE1088" s="18"/>
      <c r="AF1088" s="18"/>
      <c r="AG1088" s="18"/>
      <c r="AH1088" s="18"/>
      <c r="AI1088" s="18"/>
      <c r="AJ1088" s="18"/>
      <c r="AK1088" s="18"/>
      <c r="AL1088" s="18"/>
      <c r="AM1088" s="18"/>
      <c r="AN1088" s="18"/>
      <c r="AO1088" s="18"/>
      <c r="AP1088" s="18"/>
      <c r="AQ1088" s="18"/>
      <c r="AR1088" s="18"/>
      <c r="AS1088" s="18"/>
      <c r="AT1088" s="18"/>
      <c r="AU1088" s="18"/>
      <c r="AV1088" s="18"/>
      <c r="AW1088" s="18"/>
      <c r="AX1088" s="18"/>
      <c r="AY1088" s="18"/>
      <c r="AZ1088" s="18"/>
      <c r="BA1088" s="18"/>
      <c r="BB1088" s="18"/>
      <c r="BC1088" s="18"/>
    </row>
    <row r="1089" spans="1:55" ht="15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/>
      <c r="W1089" s="18"/>
      <c r="X1089" s="18"/>
      <c r="Y1089" s="18"/>
      <c r="Z1089" s="18"/>
      <c r="AA1089" s="18"/>
      <c r="AB1089" s="18"/>
      <c r="AC1089" s="18"/>
      <c r="AD1089" s="18"/>
      <c r="AE1089" s="18"/>
      <c r="AF1089" s="18"/>
      <c r="AG1089" s="18"/>
      <c r="AH1089" s="18"/>
      <c r="AI1089" s="18"/>
      <c r="AJ1089" s="18"/>
      <c r="AK1089" s="18"/>
      <c r="AL1089" s="18"/>
      <c r="AM1089" s="18"/>
      <c r="AN1089" s="18"/>
      <c r="AO1089" s="18"/>
      <c r="AP1089" s="18"/>
      <c r="AQ1089" s="18"/>
      <c r="AR1089" s="18"/>
      <c r="AS1089" s="18"/>
      <c r="AT1089" s="18"/>
      <c r="AU1089" s="18"/>
      <c r="AV1089" s="18"/>
      <c r="AW1089" s="18"/>
      <c r="AX1089" s="18"/>
      <c r="AY1089" s="18"/>
      <c r="AZ1089" s="18"/>
      <c r="BA1089" s="18"/>
      <c r="BB1089" s="18"/>
      <c r="BC1089" s="18"/>
    </row>
    <row r="1090" spans="1:55" ht="15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  <c r="R1090" s="18"/>
      <c r="S1090" s="18"/>
      <c r="T1090" s="18"/>
      <c r="U1090" s="18"/>
      <c r="V1090" s="18"/>
      <c r="W1090" s="18"/>
      <c r="X1090" s="18"/>
      <c r="Y1090" s="18"/>
      <c r="Z1090" s="18"/>
      <c r="AA1090" s="18"/>
      <c r="AB1090" s="18"/>
      <c r="AC1090" s="18"/>
      <c r="AD1090" s="18"/>
      <c r="AE1090" s="18"/>
      <c r="AF1090" s="18"/>
      <c r="AG1090" s="18"/>
      <c r="AH1090" s="18"/>
      <c r="AI1090" s="18"/>
      <c r="AJ1090" s="18"/>
      <c r="AK1090" s="18"/>
      <c r="AL1090" s="18"/>
      <c r="AM1090" s="18"/>
      <c r="AN1090" s="18"/>
      <c r="AO1090" s="18"/>
      <c r="AP1090" s="18"/>
      <c r="AQ1090" s="18"/>
      <c r="AR1090" s="18"/>
      <c r="AS1090" s="18"/>
      <c r="AT1090" s="18"/>
      <c r="AU1090" s="18"/>
      <c r="AV1090" s="18"/>
      <c r="AW1090" s="18"/>
      <c r="AX1090" s="18"/>
      <c r="AY1090" s="18"/>
      <c r="AZ1090" s="18"/>
      <c r="BA1090" s="18"/>
      <c r="BB1090" s="18"/>
      <c r="BC1090" s="18"/>
    </row>
    <row r="1091" spans="1:55" ht="15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8"/>
      <c r="X1091" s="18"/>
      <c r="Y1091" s="18"/>
      <c r="Z1091" s="18"/>
      <c r="AA1091" s="18"/>
      <c r="AB1091" s="18"/>
      <c r="AC1091" s="18"/>
      <c r="AD1091" s="18"/>
      <c r="AE1091" s="18"/>
      <c r="AF1091" s="18"/>
      <c r="AG1091" s="18"/>
      <c r="AH1091" s="18"/>
      <c r="AI1091" s="18"/>
      <c r="AJ1091" s="18"/>
      <c r="AK1091" s="18"/>
      <c r="AL1091" s="18"/>
      <c r="AM1091" s="18"/>
      <c r="AN1091" s="18"/>
      <c r="AO1091" s="18"/>
      <c r="AP1091" s="18"/>
      <c r="AQ1091" s="18"/>
      <c r="AR1091" s="18"/>
      <c r="AS1091" s="18"/>
      <c r="AT1091" s="18"/>
      <c r="AU1091" s="18"/>
      <c r="AV1091" s="18"/>
      <c r="AW1091" s="18"/>
      <c r="AX1091" s="18"/>
      <c r="AY1091" s="18"/>
      <c r="AZ1091" s="18"/>
      <c r="BA1091" s="18"/>
      <c r="BB1091" s="18"/>
      <c r="BC1091" s="18"/>
    </row>
    <row r="1092" spans="1:55" ht="15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  <c r="R1092" s="18"/>
      <c r="S1092" s="18"/>
      <c r="T1092" s="18"/>
      <c r="U1092" s="18"/>
      <c r="V1092" s="18"/>
      <c r="W1092" s="18"/>
      <c r="X1092" s="18"/>
      <c r="Y1092" s="18"/>
      <c r="Z1092" s="18"/>
      <c r="AA1092" s="18"/>
      <c r="AB1092" s="18"/>
      <c r="AC1092" s="18"/>
      <c r="AD1092" s="18"/>
      <c r="AE1092" s="18"/>
      <c r="AF1092" s="18"/>
      <c r="AG1092" s="18"/>
      <c r="AH1092" s="18"/>
      <c r="AI1092" s="18"/>
      <c r="AJ1092" s="18"/>
      <c r="AK1092" s="18"/>
      <c r="AL1092" s="18"/>
      <c r="AM1092" s="18"/>
      <c r="AN1092" s="18"/>
      <c r="AO1092" s="18"/>
      <c r="AP1092" s="18"/>
      <c r="AQ1092" s="18"/>
      <c r="AR1092" s="18"/>
      <c r="AS1092" s="18"/>
      <c r="AT1092" s="18"/>
      <c r="AU1092" s="18"/>
      <c r="AV1092" s="18"/>
      <c r="AW1092" s="18"/>
      <c r="AX1092" s="18"/>
      <c r="AY1092" s="18"/>
      <c r="AZ1092" s="18"/>
      <c r="BA1092" s="18"/>
      <c r="BB1092" s="18"/>
      <c r="BC1092" s="18"/>
    </row>
    <row r="1093" spans="1:55" ht="15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  <c r="S1093" s="18"/>
      <c r="T1093" s="18"/>
      <c r="U1093" s="18"/>
      <c r="V1093" s="18"/>
      <c r="W1093" s="18"/>
      <c r="X1093" s="18"/>
      <c r="Y1093" s="18"/>
      <c r="Z1093" s="18"/>
      <c r="AA1093" s="18"/>
      <c r="AB1093" s="18"/>
      <c r="AC1093" s="18"/>
      <c r="AD1093" s="18"/>
      <c r="AE1093" s="18"/>
      <c r="AF1093" s="18"/>
      <c r="AG1093" s="18"/>
      <c r="AH1093" s="18"/>
      <c r="AI1093" s="18"/>
      <c r="AJ1093" s="18"/>
      <c r="AK1093" s="18"/>
      <c r="AL1093" s="18"/>
      <c r="AM1093" s="18"/>
      <c r="AN1093" s="18"/>
      <c r="AO1093" s="18"/>
      <c r="AP1093" s="18"/>
      <c r="AQ1093" s="18"/>
      <c r="AR1093" s="18"/>
      <c r="AS1093" s="18"/>
      <c r="AT1093" s="18"/>
      <c r="AU1093" s="18"/>
      <c r="AV1093" s="18"/>
      <c r="AW1093" s="18"/>
      <c r="AX1093" s="18"/>
      <c r="AY1093" s="18"/>
      <c r="AZ1093" s="18"/>
      <c r="BA1093" s="18"/>
      <c r="BB1093" s="18"/>
      <c r="BC1093" s="18"/>
    </row>
    <row r="1094" spans="1:55" ht="15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  <c r="AA1094" s="18"/>
      <c r="AB1094" s="18"/>
      <c r="AC1094" s="18"/>
      <c r="AD1094" s="18"/>
      <c r="AE1094" s="18"/>
      <c r="AF1094" s="18"/>
      <c r="AG1094" s="18"/>
      <c r="AH1094" s="18"/>
      <c r="AI1094" s="18"/>
      <c r="AJ1094" s="18"/>
      <c r="AK1094" s="18"/>
      <c r="AL1094" s="18"/>
      <c r="AM1094" s="18"/>
      <c r="AN1094" s="18"/>
      <c r="AO1094" s="18"/>
      <c r="AP1094" s="18"/>
      <c r="AQ1094" s="18"/>
      <c r="AR1094" s="18"/>
      <c r="AS1094" s="18"/>
      <c r="AT1094" s="18"/>
      <c r="AU1094" s="18"/>
      <c r="AV1094" s="18"/>
      <c r="AW1094" s="18"/>
      <c r="AX1094" s="18"/>
      <c r="AY1094" s="18"/>
      <c r="AZ1094" s="18"/>
      <c r="BA1094" s="18"/>
      <c r="BB1094" s="18"/>
      <c r="BC1094" s="18"/>
    </row>
    <row r="1095" spans="1:55" ht="15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  <c r="AA1095" s="18"/>
      <c r="AB1095" s="18"/>
      <c r="AC1095" s="18"/>
      <c r="AD1095" s="18"/>
      <c r="AE1095" s="18"/>
      <c r="AF1095" s="18"/>
      <c r="AG1095" s="18"/>
      <c r="AH1095" s="18"/>
      <c r="AI1095" s="18"/>
      <c r="AJ1095" s="18"/>
      <c r="AK1095" s="18"/>
      <c r="AL1095" s="18"/>
      <c r="AM1095" s="18"/>
      <c r="AN1095" s="18"/>
      <c r="AO1095" s="18"/>
      <c r="AP1095" s="18"/>
      <c r="AQ1095" s="18"/>
      <c r="AR1095" s="18"/>
      <c r="AS1095" s="18"/>
      <c r="AT1095" s="18"/>
      <c r="AU1095" s="18"/>
      <c r="AV1095" s="18"/>
      <c r="AW1095" s="18"/>
      <c r="AX1095" s="18"/>
      <c r="AY1095" s="18"/>
      <c r="AZ1095" s="18"/>
      <c r="BA1095" s="18"/>
      <c r="BB1095" s="18"/>
      <c r="BC1095" s="18"/>
    </row>
    <row r="1096" spans="1:55" ht="15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  <c r="R1096" s="18"/>
      <c r="S1096" s="18"/>
      <c r="T1096" s="18"/>
      <c r="U1096" s="18"/>
      <c r="V1096" s="18"/>
      <c r="W1096" s="18"/>
      <c r="X1096" s="18"/>
      <c r="Y1096" s="18"/>
      <c r="Z1096" s="18"/>
      <c r="AA1096" s="18"/>
      <c r="AB1096" s="18"/>
      <c r="AC1096" s="18"/>
      <c r="AD1096" s="18"/>
      <c r="AE1096" s="18"/>
      <c r="AF1096" s="18"/>
      <c r="AG1096" s="18"/>
      <c r="AH1096" s="18"/>
      <c r="AI1096" s="18"/>
      <c r="AJ1096" s="18"/>
      <c r="AK1096" s="18"/>
      <c r="AL1096" s="18"/>
      <c r="AM1096" s="18"/>
      <c r="AN1096" s="18"/>
      <c r="AO1096" s="18"/>
      <c r="AP1096" s="18"/>
      <c r="AQ1096" s="18"/>
      <c r="AR1096" s="18"/>
      <c r="AS1096" s="18"/>
      <c r="AT1096" s="18"/>
      <c r="AU1096" s="18"/>
      <c r="AV1096" s="18"/>
      <c r="AW1096" s="18"/>
      <c r="AX1096" s="18"/>
      <c r="AY1096" s="18"/>
      <c r="AZ1096" s="18"/>
      <c r="BA1096" s="18"/>
      <c r="BB1096" s="18"/>
      <c r="BC1096" s="18"/>
    </row>
    <row r="1097" spans="1:55" ht="15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  <c r="X1097" s="18"/>
      <c r="Y1097" s="18"/>
      <c r="Z1097" s="18"/>
      <c r="AA1097" s="18"/>
      <c r="AB1097" s="18"/>
      <c r="AC1097" s="18"/>
      <c r="AD1097" s="18"/>
      <c r="AE1097" s="18"/>
      <c r="AF1097" s="18"/>
      <c r="AG1097" s="18"/>
      <c r="AH1097" s="18"/>
      <c r="AI1097" s="18"/>
      <c r="AJ1097" s="18"/>
      <c r="AK1097" s="18"/>
      <c r="AL1097" s="18"/>
      <c r="AM1097" s="18"/>
      <c r="AN1097" s="18"/>
      <c r="AO1097" s="18"/>
      <c r="AP1097" s="18"/>
      <c r="AQ1097" s="18"/>
      <c r="AR1097" s="18"/>
      <c r="AS1097" s="18"/>
      <c r="AT1097" s="18"/>
      <c r="AU1097" s="18"/>
      <c r="AV1097" s="18"/>
      <c r="AW1097" s="18"/>
      <c r="AX1097" s="18"/>
      <c r="AY1097" s="18"/>
      <c r="AZ1097" s="18"/>
      <c r="BA1097" s="18"/>
      <c r="BB1097" s="18"/>
      <c r="BC1097" s="18"/>
    </row>
    <row r="1098" spans="1:55" ht="15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  <c r="R1098" s="18"/>
      <c r="S1098" s="18"/>
      <c r="T1098" s="18"/>
      <c r="U1098" s="18"/>
      <c r="V1098" s="18"/>
      <c r="W1098" s="18"/>
      <c r="X1098" s="18"/>
      <c r="Y1098" s="18"/>
      <c r="Z1098" s="18"/>
      <c r="AA1098" s="18"/>
      <c r="AB1098" s="18"/>
      <c r="AC1098" s="18"/>
      <c r="AD1098" s="18"/>
      <c r="AE1098" s="18"/>
      <c r="AF1098" s="18"/>
      <c r="AG1098" s="18"/>
      <c r="AH1098" s="18"/>
      <c r="AI1098" s="18"/>
      <c r="AJ1098" s="18"/>
      <c r="AK1098" s="18"/>
      <c r="AL1098" s="18"/>
      <c r="AM1098" s="18"/>
      <c r="AN1098" s="18"/>
      <c r="AO1098" s="18"/>
      <c r="AP1098" s="18"/>
      <c r="AQ1098" s="18"/>
      <c r="AR1098" s="18"/>
      <c r="AS1098" s="18"/>
      <c r="AT1098" s="18"/>
      <c r="AU1098" s="18"/>
      <c r="AV1098" s="18"/>
      <c r="AW1098" s="18"/>
      <c r="AX1098" s="18"/>
      <c r="AY1098" s="18"/>
      <c r="AZ1098" s="18"/>
      <c r="BA1098" s="18"/>
      <c r="BB1098" s="18"/>
      <c r="BC1098" s="18"/>
    </row>
    <row r="1099" spans="1:55" ht="15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  <c r="X1099" s="18"/>
      <c r="Y1099" s="18"/>
      <c r="Z1099" s="18"/>
      <c r="AA1099" s="18"/>
      <c r="AB1099" s="18"/>
      <c r="AC1099" s="18"/>
      <c r="AD1099" s="18"/>
      <c r="AE1099" s="18"/>
      <c r="AF1099" s="18"/>
      <c r="AG1099" s="18"/>
      <c r="AH1099" s="18"/>
      <c r="AI1099" s="18"/>
      <c r="AJ1099" s="18"/>
      <c r="AK1099" s="18"/>
      <c r="AL1099" s="18"/>
      <c r="AM1099" s="18"/>
      <c r="AN1099" s="18"/>
      <c r="AO1099" s="18"/>
      <c r="AP1099" s="18"/>
      <c r="AQ1099" s="18"/>
      <c r="AR1099" s="18"/>
      <c r="AS1099" s="18"/>
      <c r="AT1099" s="18"/>
      <c r="AU1099" s="18"/>
      <c r="AV1099" s="18"/>
      <c r="AW1099" s="18"/>
      <c r="AX1099" s="18"/>
      <c r="AY1099" s="18"/>
      <c r="AZ1099" s="18"/>
      <c r="BA1099" s="18"/>
      <c r="BB1099" s="18"/>
      <c r="BC1099" s="18"/>
    </row>
    <row r="1100" spans="1:55" ht="15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  <c r="R1100" s="18"/>
      <c r="S1100" s="18"/>
      <c r="T1100" s="18"/>
      <c r="U1100" s="18"/>
      <c r="V1100" s="18"/>
      <c r="W1100" s="18"/>
      <c r="X1100" s="18"/>
      <c r="Y1100" s="18"/>
      <c r="Z1100" s="18"/>
      <c r="AA1100" s="18"/>
      <c r="AB1100" s="18"/>
      <c r="AC1100" s="18"/>
      <c r="AD1100" s="18"/>
      <c r="AE1100" s="18"/>
      <c r="AF1100" s="18"/>
      <c r="AG1100" s="18"/>
      <c r="AH1100" s="18"/>
      <c r="AI1100" s="18"/>
      <c r="AJ1100" s="18"/>
      <c r="AK1100" s="18"/>
      <c r="AL1100" s="18"/>
      <c r="AM1100" s="18"/>
      <c r="AN1100" s="18"/>
      <c r="AO1100" s="18"/>
      <c r="AP1100" s="18"/>
      <c r="AQ1100" s="18"/>
      <c r="AR1100" s="18"/>
      <c r="AS1100" s="18"/>
      <c r="AT1100" s="18"/>
      <c r="AU1100" s="18"/>
      <c r="AV1100" s="18"/>
      <c r="AW1100" s="18"/>
      <c r="AX1100" s="18"/>
      <c r="AY1100" s="18"/>
      <c r="AZ1100" s="18"/>
      <c r="BA1100" s="18"/>
      <c r="BB1100" s="18"/>
      <c r="BC1100" s="18"/>
    </row>
    <row r="1101" spans="1:55" ht="15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  <c r="R1101" s="18"/>
      <c r="S1101" s="18"/>
      <c r="T1101" s="18"/>
      <c r="U1101" s="18"/>
      <c r="V1101" s="18"/>
      <c r="W1101" s="18"/>
      <c r="X1101" s="18"/>
      <c r="Y1101" s="18"/>
      <c r="Z1101" s="18"/>
      <c r="AA1101" s="18"/>
      <c r="AB1101" s="18"/>
      <c r="AC1101" s="18"/>
      <c r="AD1101" s="18"/>
      <c r="AE1101" s="18"/>
      <c r="AF1101" s="18"/>
      <c r="AG1101" s="18"/>
      <c r="AH1101" s="18"/>
      <c r="AI1101" s="18"/>
      <c r="AJ1101" s="18"/>
      <c r="AK1101" s="18"/>
      <c r="AL1101" s="18"/>
      <c r="AM1101" s="18"/>
      <c r="AN1101" s="18"/>
      <c r="AO1101" s="18"/>
      <c r="AP1101" s="18"/>
      <c r="AQ1101" s="18"/>
      <c r="AR1101" s="18"/>
      <c r="AS1101" s="18"/>
      <c r="AT1101" s="18"/>
      <c r="AU1101" s="18"/>
      <c r="AV1101" s="18"/>
      <c r="AW1101" s="18"/>
      <c r="AX1101" s="18"/>
      <c r="AY1101" s="18"/>
      <c r="AZ1101" s="18"/>
      <c r="BA1101" s="18"/>
      <c r="BB1101" s="18"/>
      <c r="BC1101" s="18"/>
    </row>
    <row r="1102" spans="1:55" ht="15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  <c r="W1102" s="18"/>
      <c r="X1102" s="18"/>
      <c r="Y1102" s="18"/>
      <c r="Z1102" s="18"/>
      <c r="AA1102" s="18"/>
      <c r="AB1102" s="18"/>
      <c r="AC1102" s="18"/>
      <c r="AD1102" s="18"/>
      <c r="AE1102" s="18"/>
      <c r="AF1102" s="18"/>
      <c r="AG1102" s="18"/>
      <c r="AH1102" s="18"/>
      <c r="AI1102" s="18"/>
      <c r="AJ1102" s="18"/>
      <c r="AK1102" s="18"/>
      <c r="AL1102" s="18"/>
      <c r="AM1102" s="18"/>
      <c r="AN1102" s="18"/>
      <c r="AO1102" s="18"/>
      <c r="AP1102" s="18"/>
      <c r="AQ1102" s="18"/>
      <c r="AR1102" s="18"/>
      <c r="AS1102" s="18"/>
      <c r="AT1102" s="18"/>
      <c r="AU1102" s="18"/>
      <c r="AV1102" s="18"/>
      <c r="AW1102" s="18"/>
      <c r="AX1102" s="18"/>
      <c r="AY1102" s="18"/>
      <c r="AZ1102" s="18"/>
      <c r="BA1102" s="18"/>
      <c r="BB1102" s="18"/>
      <c r="BC1102" s="18"/>
    </row>
    <row r="1103" spans="1:55" ht="15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  <c r="AA1103" s="18"/>
      <c r="AB1103" s="18"/>
      <c r="AC1103" s="18"/>
      <c r="AD1103" s="18"/>
      <c r="AE1103" s="18"/>
      <c r="AF1103" s="18"/>
      <c r="AG1103" s="18"/>
      <c r="AH1103" s="18"/>
      <c r="AI1103" s="18"/>
      <c r="AJ1103" s="18"/>
      <c r="AK1103" s="18"/>
      <c r="AL1103" s="18"/>
      <c r="AM1103" s="18"/>
      <c r="AN1103" s="18"/>
      <c r="AO1103" s="18"/>
      <c r="AP1103" s="18"/>
      <c r="AQ1103" s="18"/>
      <c r="AR1103" s="18"/>
      <c r="AS1103" s="18"/>
      <c r="AT1103" s="18"/>
      <c r="AU1103" s="18"/>
      <c r="AV1103" s="18"/>
      <c r="AW1103" s="18"/>
      <c r="AX1103" s="18"/>
      <c r="AY1103" s="18"/>
      <c r="AZ1103" s="18"/>
      <c r="BA1103" s="18"/>
      <c r="BB1103" s="18"/>
      <c r="BC1103" s="18"/>
    </row>
    <row r="1104" spans="1:55" ht="15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  <c r="AA1104" s="18"/>
      <c r="AB1104" s="18"/>
      <c r="AC1104" s="18"/>
      <c r="AD1104" s="18"/>
      <c r="AE1104" s="18"/>
      <c r="AF1104" s="18"/>
      <c r="AG1104" s="18"/>
      <c r="AH1104" s="18"/>
      <c r="AI1104" s="18"/>
      <c r="AJ1104" s="18"/>
      <c r="AK1104" s="18"/>
      <c r="AL1104" s="18"/>
      <c r="AM1104" s="18"/>
      <c r="AN1104" s="18"/>
      <c r="AO1104" s="18"/>
      <c r="AP1104" s="18"/>
      <c r="AQ1104" s="18"/>
      <c r="AR1104" s="18"/>
      <c r="AS1104" s="18"/>
      <c r="AT1104" s="18"/>
      <c r="AU1104" s="18"/>
      <c r="AV1104" s="18"/>
      <c r="AW1104" s="18"/>
      <c r="AX1104" s="18"/>
      <c r="AY1104" s="18"/>
      <c r="AZ1104" s="18"/>
      <c r="BA1104" s="18"/>
      <c r="BB1104" s="18"/>
      <c r="BC1104" s="18"/>
    </row>
    <row r="1105" spans="1:55" ht="15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  <c r="S1105" s="18"/>
      <c r="T1105" s="18"/>
      <c r="U1105" s="18"/>
      <c r="V1105" s="18"/>
      <c r="W1105" s="18"/>
      <c r="X1105" s="18"/>
      <c r="Y1105" s="18"/>
      <c r="Z1105" s="18"/>
      <c r="AA1105" s="18"/>
      <c r="AB1105" s="18"/>
      <c r="AC1105" s="18"/>
      <c r="AD1105" s="18"/>
      <c r="AE1105" s="18"/>
      <c r="AF1105" s="18"/>
      <c r="AG1105" s="18"/>
      <c r="AH1105" s="18"/>
      <c r="AI1105" s="18"/>
      <c r="AJ1105" s="18"/>
      <c r="AK1105" s="18"/>
      <c r="AL1105" s="18"/>
      <c r="AM1105" s="18"/>
      <c r="AN1105" s="18"/>
      <c r="AO1105" s="18"/>
      <c r="AP1105" s="18"/>
      <c r="AQ1105" s="18"/>
      <c r="AR1105" s="18"/>
      <c r="AS1105" s="18"/>
      <c r="AT1105" s="18"/>
      <c r="AU1105" s="18"/>
      <c r="AV1105" s="18"/>
      <c r="AW1105" s="18"/>
      <c r="AX1105" s="18"/>
      <c r="AY1105" s="18"/>
      <c r="AZ1105" s="18"/>
      <c r="BA1105" s="18"/>
      <c r="BB1105" s="18"/>
      <c r="BC1105" s="18"/>
    </row>
    <row r="1106" spans="1:55" ht="15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  <c r="R1106" s="18"/>
      <c r="S1106" s="18"/>
      <c r="T1106" s="18"/>
      <c r="U1106" s="18"/>
      <c r="V1106" s="18"/>
      <c r="W1106" s="18"/>
      <c r="X1106" s="18"/>
      <c r="Y1106" s="18"/>
      <c r="Z1106" s="18"/>
      <c r="AA1106" s="18"/>
      <c r="AB1106" s="18"/>
      <c r="AC1106" s="18"/>
      <c r="AD1106" s="18"/>
      <c r="AE1106" s="18"/>
      <c r="AF1106" s="18"/>
      <c r="AG1106" s="18"/>
      <c r="AH1106" s="18"/>
      <c r="AI1106" s="18"/>
      <c r="AJ1106" s="18"/>
      <c r="AK1106" s="18"/>
      <c r="AL1106" s="18"/>
      <c r="AM1106" s="18"/>
      <c r="AN1106" s="18"/>
      <c r="AO1106" s="18"/>
      <c r="AP1106" s="18"/>
      <c r="AQ1106" s="18"/>
      <c r="AR1106" s="18"/>
      <c r="AS1106" s="18"/>
      <c r="AT1106" s="18"/>
      <c r="AU1106" s="18"/>
      <c r="AV1106" s="18"/>
      <c r="AW1106" s="18"/>
      <c r="AX1106" s="18"/>
      <c r="AY1106" s="18"/>
      <c r="AZ1106" s="18"/>
      <c r="BA1106" s="18"/>
      <c r="BB1106" s="18"/>
      <c r="BC1106" s="18"/>
    </row>
    <row r="1107" spans="1:55" ht="15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8"/>
      <c r="X1107" s="18"/>
      <c r="Y1107" s="18"/>
      <c r="Z1107" s="18"/>
      <c r="AA1107" s="18"/>
      <c r="AB1107" s="18"/>
      <c r="AC1107" s="18"/>
      <c r="AD1107" s="18"/>
      <c r="AE1107" s="18"/>
      <c r="AF1107" s="18"/>
      <c r="AG1107" s="18"/>
      <c r="AH1107" s="18"/>
      <c r="AI1107" s="18"/>
      <c r="AJ1107" s="18"/>
      <c r="AK1107" s="18"/>
      <c r="AL1107" s="18"/>
      <c r="AM1107" s="18"/>
      <c r="AN1107" s="18"/>
      <c r="AO1107" s="18"/>
      <c r="AP1107" s="18"/>
      <c r="AQ1107" s="18"/>
      <c r="AR1107" s="18"/>
      <c r="AS1107" s="18"/>
      <c r="AT1107" s="18"/>
      <c r="AU1107" s="18"/>
      <c r="AV1107" s="18"/>
      <c r="AW1107" s="18"/>
      <c r="AX1107" s="18"/>
      <c r="AY1107" s="18"/>
      <c r="AZ1107" s="18"/>
      <c r="BA1107" s="18"/>
      <c r="BB1107" s="18"/>
      <c r="BC1107" s="18"/>
    </row>
    <row r="1108" spans="1:55" ht="15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  <c r="W1108" s="18"/>
      <c r="X1108" s="18"/>
      <c r="Y1108" s="18"/>
      <c r="Z1108" s="18"/>
      <c r="AA1108" s="18"/>
      <c r="AB1108" s="18"/>
      <c r="AC1108" s="18"/>
      <c r="AD1108" s="18"/>
      <c r="AE1108" s="18"/>
      <c r="AF1108" s="18"/>
      <c r="AG1108" s="18"/>
      <c r="AH1108" s="18"/>
      <c r="AI1108" s="18"/>
      <c r="AJ1108" s="18"/>
      <c r="AK1108" s="18"/>
      <c r="AL1108" s="18"/>
      <c r="AM1108" s="18"/>
      <c r="AN1108" s="18"/>
      <c r="AO1108" s="18"/>
      <c r="AP1108" s="18"/>
      <c r="AQ1108" s="18"/>
      <c r="AR1108" s="18"/>
      <c r="AS1108" s="18"/>
      <c r="AT1108" s="18"/>
      <c r="AU1108" s="18"/>
      <c r="AV1108" s="18"/>
      <c r="AW1108" s="18"/>
      <c r="AX1108" s="18"/>
      <c r="AY1108" s="18"/>
      <c r="AZ1108" s="18"/>
      <c r="BA1108" s="18"/>
      <c r="BB1108" s="18"/>
      <c r="BC1108" s="18"/>
    </row>
    <row r="1109" spans="1:55" ht="15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  <c r="R1109" s="18"/>
      <c r="S1109" s="18"/>
      <c r="T1109" s="18"/>
      <c r="U1109" s="18"/>
      <c r="V1109" s="18"/>
      <c r="W1109" s="18"/>
      <c r="X1109" s="18"/>
      <c r="Y1109" s="18"/>
      <c r="Z1109" s="18"/>
      <c r="AA1109" s="18"/>
      <c r="AB1109" s="18"/>
      <c r="AC1109" s="18"/>
      <c r="AD1109" s="18"/>
      <c r="AE1109" s="18"/>
      <c r="AF1109" s="18"/>
      <c r="AG1109" s="18"/>
      <c r="AH1109" s="18"/>
      <c r="AI1109" s="18"/>
      <c r="AJ1109" s="18"/>
      <c r="AK1109" s="18"/>
      <c r="AL1109" s="18"/>
      <c r="AM1109" s="18"/>
      <c r="AN1109" s="18"/>
      <c r="AO1109" s="18"/>
      <c r="AP1109" s="18"/>
      <c r="AQ1109" s="18"/>
      <c r="AR1109" s="18"/>
      <c r="AS1109" s="18"/>
      <c r="AT1109" s="18"/>
      <c r="AU1109" s="18"/>
      <c r="AV1109" s="18"/>
      <c r="AW1109" s="18"/>
      <c r="AX1109" s="18"/>
      <c r="AY1109" s="18"/>
      <c r="AZ1109" s="18"/>
      <c r="BA1109" s="18"/>
      <c r="BB1109" s="18"/>
      <c r="BC1109" s="18"/>
    </row>
    <row r="1110" spans="1:55" ht="15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  <c r="R1110" s="18"/>
      <c r="S1110" s="18"/>
      <c r="T1110" s="18"/>
      <c r="U1110" s="18"/>
      <c r="V1110" s="18"/>
      <c r="W1110" s="18"/>
      <c r="X1110" s="18"/>
      <c r="Y1110" s="18"/>
      <c r="Z1110" s="18"/>
      <c r="AA1110" s="18"/>
      <c r="AB1110" s="18"/>
      <c r="AC1110" s="18"/>
      <c r="AD1110" s="18"/>
      <c r="AE1110" s="18"/>
      <c r="AF1110" s="18"/>
      <c r="AG1110" s="18"/>
      <c r="AH1110" s="18"/>
      <c r="AI1110" s="18"/>
      <c r="AJ1110" s="18"/>
      <c r="AK1110" s="18"/>
      <c r="AL1110" s="18"/>
      <c r="AM1110" s="18"/>
      <c r="AN1110" s="18"/>
      <c r="AO1110" s="18"/>
      <c r="AP1110" s="18"/>
      <c r="AQ1110" s="18"/>
      <c r="AR1110" s="18"/>
      <c r="AS1110" s="18"/>
      <c r="AT1110" s="18"/>
      <c r="AU1110" s="18"/>
      <c r="AV1110" s="18"/>
      <c r="AW1110" s="18"/>
      <c r="AX1110" s="18"/>
      <c r="AY1110" s="18"/>
      <c r="AZ1110" s="18"/>
      <c r="BA1110" s="18"/>
      <c r="BB1110" s="18"/>
      <c r="BC1110" s="18"/>
    </row>
    <row r="1111" spans="1:55" ht="15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  <c r="W1111" s="18"/>
      <c r="X1111" s="18"/>
      <c r="Y1111" s="18"/>
      <c r="Z1111" s="18"/>
      <c r="AA1111" s="18"/>
      <c r="AB1111" s="18"/>
      <c r="AC1111" s="18"/>
      <c r="AD1111" s="18"/>
      <c r="AE1111" s="18"/>
      <c r="AF1111" s="18"/>
      <c r="AG1111" s="18"/>
      <c r="AH1111" s="18"/>
      <c r="AI1111" s="18"/>
      <c r="AJ1111" s="18"/>
      <c r="AK1111" s="18"/>
      <c r="AL1111" s="18"/>
      <c r="AM1111" s="18"/>
      <c r="AN1111" s="18"/>
      <c r="AO1111" s="18"/>
      <c r="AP1111" s="18"/>
      <c r="AQ1111" s="18"/>
      <c r="AR1111" s="18"/>
      <c r="AS1111" s="18"/>
      <c r="AT1111" s="18"/>
      <c r="AU1111" s="18"/>
      <c r="AV1111" s="18"/>
      <c r="AW1111" s="18"/>
      <c r="AX1111" s="18"/>
      <c r="AY1111" s="18"/>
      <c r="AZ1111" s="18"/>
      <c r="BA1111" s="18"/>
      <c r="BB1111" s="18"/>
      <c r="BC1111" s="18"/>
    </row>
    <row r="1112" spans="1:55" ht="15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  <c r="R1112" s="18"/>
      <c r="S1112" s="18"/>
      <c r="T1112" s="18"/>
      <c r="U1112" s="18"/>
      <c r="V1112" s="18"/>
      <c r="W1112" s="18"/>
      <c r="X1112" s="18"/>
      <c r="Y1112" s="18"/>
      <c r="Z1112" s="18"/>
      <c r="AA1112" s="18"/>
      <c r="AB1112" s="18"/>
      <c r="AC1112" s="18"/>
      <c r="AD1112" s="18"/>
      <c r="AE1112" s="18"/>
      <c r="AF1112" s="18"/>
      <c r="AG1112" s="18"/>
      <c r="AH1112" s="18"/>
      <c r="AI1112" s="18"/>
      <c r="AJ1112" s="18"/>
      <c r="AK1112" s="18"/>
      <c r="AL1112" s="18"/>
      <c r="AM1112" s="18"/>
      <c r="AN1112" s="18"/>
      <c r="AO1112" s="18"/>
      <c r="AP1112" s="18"/>
      <c r="AQ1112" s="18"/>
      <c r="AR1112" s="18"/>
      <c r="AS1112" s="18"/>
      <c r="AT1112" s="18"/>
      <c r="AU1112" s="18"/>
      <c r="AV1112" s="18"/>
      <c r="AW1112" s="18"/>
      <c r="AX1112" s="18"/>
      <c r="AY1112" s="18"/>
      <c r="AZ1112" s="18"/>
      <c r="BA1112" s="18"/>
      <c r="BB1112" s="18"/>
      <c r="BC1112" s="18"/>
    </row>
    <row r="1113" spans="1:55" ht="15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  <c r="X1113" s="18"/>
      <c r="Y1113" s="18"/>
      <c r="Z1113" s="18"/>
      <c r="AA1113" s="18"/>
      <c r="AB1113" s="18"/>
      <c r="AC1113" s="18"/>
      <c r="AD1113" s="18"/>
      <c r="AE1113" s="18"/>
      <c r="AF1113" s="18"/>
      <c r="AG1113" s="18"/>
      <c r="AH1113" s="18"/>
      <c r="AI1113" s="18"/>
      <c r="AJ1113" s="18"/>
      <c r="AK1113" s="18"/>
      <c r="AL1113" s="18"/>
      <c r="AM1113" s="18"/>
      <c r="AN1113" s="18"/>
      <c r="AO1113" s="18"/>
      <c r="AP1113" s="18"/>
      <c r="AQ1113" s="18"/>
      <c r="AR1113" s="18"/>
      <c r="AS1113" s="18"/>
      <c r="AT1113" s="18"/>
      <c r="AU1113" s="18"/>
      <c r="AV1113" s="18"/>
      <c r="AW1113" s="18"/>
      <c r="AX1113" s="18"/>
      <c r="AY1113" s="18"/>
      <c r="AZ1113" s="18"/>
      <c r="BA1113" s="18"/>
      <c r="BB1113" s="18"/>
      <c r="BC1113" s="18"/>
    </row>
    <row r="1114" spans="1:55" ht="15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  <c r="W1114" s="18"/>
      <c r="X1114" s="18"/>
      <c r="Y1114" s="18"/>
      <c r="Z1114" s="18"/>
      <c r="AA1114" s="18"/>
      <c r="AB1114" s="18"/>
      <c r="AC1114" s="18"/>
      <c r="AD1114" s="18"/>
      <c r="AE1114" s="18"/>
      <c r="AF1114" s="18"/>
      <c r="AG1114" s="18"/>
      <c r="AH1114" s="18"/>
      <c r="AI1114" s="18"/>
      <c r="AJ1114" s="18"/>
      <c r="AK1114" s="18"/>
      <c r="AL1114" s="18"/>
      <c r="AM1114" s="18"/>
      <c r="AN1114" s="18"/>
      <c r="AO1114" s="18"/>
      <c r="AP1114" s="18"/>
      <c r="AQ1114" s="18"/>
      <c r="AR1114" s="18"/>
      <c r="AS1114" s="18"/>
      <c r="AT1114" s="18"/>
      <c r="AU1114" s="18"/>
      <c r="AV1114" s="18"/>
      <c r="AW1114" s="18"/>
      <c r="AX1114" s="18"/>
      <c r="AY1114" s="18"/>
      <c r="AZ1114" s="18"/>
      <c r="BA1114" s="18"/>
      <c r="BB1114" s="18"/>
      <c r="BC1114" s="18"/>
    </row>
    <row r="1115" spans="1:55" ht="15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  <c r="W1115" s="18"/>
      <c r="X1115" s="18"/>
      <c r="Y1115" s="18"/>
      <c r="Z1115" s="18"/>
      <c r="AA1115" s="18"/>
      <c r="AB1115" s="18"/>
      <c r="AC1115" s="18"/>
      <c r="AD1115" s="18"/>
      <c r="AE1115" s="18"/>
      <c r="AF1115" s="18"/>
      <c r="AG1115" s="18"/>
      <c r="AH1115" s="18"/>
      <c r="AI1115" s="18"/>
      <c r="AJ1115" s="18"/>
      <c r="AK1115" s="18"/>
      <c r="AL1115" s="18"/>
      <c r="AM1115" s="18"/>
      <c r="AN1115" s="18"/>
      <c r="AO1115" s="18"/>
      <c r="AP1115" s="18"/>
      <c r="AQ1115" s="18"/>
      <c r="AR1115" s="18"/>
      <c r="AS1115" s="18"/>
      <c r="AT1115" s="18"/>
      <c r="AU1115" s="18"/>
      <c r="AV1115" s="18"/>
      <c r="AW1115" s="18"/>
      <c r="AX1115" s="18"/>
      <c r="AY1115" s="18"/>
      <c r="AZ1115" s="18"/>
      <c r="BA1115" s="18"/>
      <c r="BB1115" s="18"/>
      <c r="BC1115" s="18"/>
    </row>
    <row r="1116" spans="1:55" ht="15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  <c r="R1116" s="18"/>
      <c r="S1116" s="18"/>
      <c r="T1116" s="18"/>
      <c r="U1116" s="18"/>
      <c r="V1116" s="18"/>
      <c r="W1116" s="18"/>
      <c r="X1116" s="18"/>
      <c r="Y1116" s="18"/>
      <c r="Z1116" s="18"/>
      <c r="AA1116" s="18"/>
      <c r="AB1116" s="18"/>
      <c r="AC1116" s="18"/>
      <c r="AD1116" s="18"/>
      <c r="AE1116" s="18"/>
      <c r="AF1116" s="18"/>
      <c r="AG1116" s="18"/>
      <c r="AH1116" s="18"/>
      <c r="AI1116" s="18"/>
      <c r="AJ1116" s="18"/>
      <c r="AK1116" s="18"/>
      <c r="AL1116" s="18"/>
      <c r="AM1116" s="18"/>
      <c r="AN1116" s="18"/>
      <c r="AO1116" s="18"/>
      <c r="AP1116" s="18"/>
      <c r="AQ1116" s="18"/>
      <c r="AR1116" s="18"/>
      <c r="AS1116" s="18"/>
      <c r="AT1116" s="18"/>
      <c r="AU1116" s="18"/>
      <c r="AV1116" s="18"/>
      <c r="AW1116" s="18"/>
      <c r="AX1116" s="18"/>
      <c r="AY1116" s="18"/>
      <c r="AZ1116" s="18"/>
      <c r="BA1116" s="18"/>
      <c r="BB1116" s="18"/>
      <c r="BC1116" s="18"/>
    </row>
    <row r="1117" spans="1:55" ht="15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  <c r="R1117" s="18"/>
      <c r="S1117" s="18"/>
      <c r="T1117" s="18"/>
      <c r="U1117" s="18"/>
      <c r="V1117" s="18"/>
      <c r="W1117" s="18"/>
      <c r="X1117" s="18"/>
      <c r="Y1117" s="18"/>
      <c r="Z1117" s="18"/>
      <c r="AA1117" s="18"/>
      <c r="AB1117" s="18"/>
      <c r="AC1117" s="18"/>
      <c r="AD1117" s="18"/>
      <c r="AE1117" s="18"/>
      <c r="AF1117" s="18"/>
      <c r="AG1117" s="18"/>
      <c r="AH1117" s="18"/>
      <c r="AI1117" s="18"/>
      <c r="AJ1117" s="18"/>
      <c r="AK1117" s="18"/>
      <c r="AL1117" s="18"/>
      <c r="AM1117" s="18"/>
      <c r="AN1117" s="18"/>
      <c r="AO1117" s="18"/>
      <c r="AP1117" s="18"/>
      <c r="AQ1117" s="18"/>
      <c r="AR1117" s="18"/>
      <c r="AS1117" s="18"/>
      <c r="AT1117" s="18"/>
      <c r="AU1117" s="18"/>
      <c r="AV1117" s="18"/>
      <c r="AW1117" s="18"/>
      <c r="AX1117" s="18"/>
      <c r="AY1117" s="18"/>
      <c r="AZ1117" s="18"/>
      <c r="BA1117" s="18"/>
      <c r="BB1117" s="18"/>
      <c r="BC1117" s="18"/>
    </row>
    <row r="1118" spans="1:55" ht="15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  <c r="R1118" s="18"/>
      <c r="S1118" s="18"/>
      <c r="T1118" s="18"/>
      <c r="U1118" s="18"/>
      <c r="V1118" s="18"/>
      <c r="W1118" s="18"/>
      <c r="X1118" s="18"/>
      <c r="Y1118" s="18"/>
      <c r="Z1118" s="18"/>
      <c r="AA1118" s="18"/>
      <c r="AB1118" s="18"/>
      <c r="AC1118" s="18"/>
      <c r="AD1118" s="18"/>
      <c r="AE1118" s="18"/>
      <c r="AF1118" s="18"/>
      <c r="AG1118" s="18"/>
      <c r="AH1118" s="18"/>
      <c r="AI1118" s="18"/>
      <c r="AJ1118" s="18"/>
      <c r="AK1118" s="18"/>
      <c r="AL1118" s="18"/>
      <c r="AM1118" s="18"/>
      <c r="AN1118" s="18"/>
      <c r="AO1118" s="18"/>
      <c r="AP1118" s="18"/>
      <c r="AQ1118" s="18"/>
      <c r="AR1118" s="18"/>
      <c r="AS1118" s="18"/>
      <c r="AT1118" s="18"/>
      <c r="AU1118" s="18"/>
      <c r="AV1118" s="18"/>
      <c r="AW1118" s="18"/>
      <c r="AX1118" s="18"/>
      <c r="AY1118" s="18"/>
      <c r="AZ1118" s="18"/>
      <c r="BA1118" s="18"/>
      <c r="BB1118" s="18"/>
      <c r="BC1118" s="18"/>
    </row>
    <row r="1119" spans="1:55" ht="15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  <c r="R1119" s="18"/>
      <c r="S1119" s="18"/>
      <c r="T1119" s="18"/>
      <c r="U1119" s="18"/>
      <c r="V1119" s="18"/>
      <c r="W1119" s="18"/>
      <c r="X1119" s="18"/>
      <c r="Y1119" s="18"/>
      <c r="Z1119" s="18"/>
      <c r="AA1119" s="18"/>
      <c r="AB1119" s="18"/>
      <c r="AC1119" s="18"/>
      <c r="AD1119" s="18"/>
      <c r="AE1119" s="18"/>
      <c r="AF1119" s="18"/>
      <c r="AG1119" s="18"/>
      <c r="AH1119" s="18"/>
      <c r="AI1119" s="18"/>
      <c r="AJ1119" s="18"/>
      <c r="AK1119" s="18"/>
      <c r="AL1119" s="18"/>
      <c r="AM1119" s="18"/>
      <c r="AN1119" s="18"/>
      <c r="AO1119" s="18"/>
      <c r="AP1119" s="18"/>
      <c r="AQ1119" s="18"/>
      <c r="AR1119" s="18"/>
      <c r="AS1119" s="18"/>
      <c r="AT1119" s="18"/>
      <c r="AU1119" s="18"/>
      <c r="AV1119" s="18"/>
      <c r="AW1119" s="18"/>
      <c r="AX1119" s="18"/>
      <c r="AY1119" s="18"/>
      <c r="AZ1119" s="18"/>
      <c r="BA1119" s="18"/>
      <c r="BB1119" s="18"/>
      <c r="BC1119" s="18"/>
    </row>
    <row r="1120" spans="1:55" ht="15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  <c r="R1120" s="18"/>
      <c r="S1120" s="18"/>
      <c r="T1120" s="18"/>
      <c r="U1120" s="18"/>
      <c r="V1120" s="18"/>
      <c r="W1120" s="18"/>
      <c r="X1120" s="18"/>
      <c r="Y1120" s="18"/>
      <c r="Z1120" s="18"/>
      <c r="AA1120" s="18"/>
      <c r="AB1120" s="18"/>
      <c r="AC1120" s="18"/>
      <c r="AD1120" s="18"/>
      <c r="AE1120" s="18"/>
      <c r="AF1120" s="18"/>
      <c r="AG1120" s="18"/>
      <c r="AH1120" s="18"/>
      <c r="AI1120" s="18"/>
      <c r="AJ1120" s="18"/>
      <c r="AK1120" s="18"/>
      <c r="AL1120" s="18"/>
      <c r="AM1120" s="18"/>
      <c r="AN1120" s="18"/>
      <c r="AO1120" s="18"/>
      <c r="AP1120" s="18"/>
      <c r="AQ1120" s="18"/>
      <c r="AR1120" s="18"/>
      <c r="AS1120" s="18"/>
      <c r="AT1120" s="18"/>
      <c r="AU1120" s="18"/>
      <c r="AV1120" s="18"/>
      <c r="AW1120" s="18"/>
      <c r="AX1120" s="18"/>
      <c r="AY1120" s="18"/>
      <c r="AZ1120" s="18"/>
      <c r="BA1120" s="18"/>
      <c r="BB1120" s="18"/>
      <c r="BC1120" s="18"/>
    </row>
    <row r="1121" spans="1:55" ht="15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  <c r="R1121" s="18"/>
      <c r="S1121" s="18"/>
      <c r="T1121" s="18"/>
      <c r="U1121" s="18"/>
      <c r="V1121" s="18"/>
      <c r="W1121" s="18"/>
      <c r="X1121" s="18"/>
      <c r="Y1121" s="18"/>
      <c r="Z1121" s="18"/>
      <c r="AA1121" s="18"/>
      <c r="AB1121" s="18"/>
      <c r="AC1121" s="18"/>
      <c r="AD1121" s="18"/>
      <c r="AE1121" s="18"/>
      <c r="AF1121" s="18"/>
      <c r="AG1121" s="18"/>
      <c r="AH1121" s="18"/>
      <c r="AI1121" s="18"/>
      <c r="AJ1121" s="18"/>
      <c r="AK1121" s="18"/>
      <c r="AL1121" s="18"/>
      <c r="AM1121" s="18"/>
      <c r="AN1121" s="18"/>
      <c r="AO1121" s="18"/>
      <c r="AP1121" s="18"/>
      <c r="AQ1121" s="18"/>
      <c r="AR1121" s="18"/>
      <c r="AS1121" s="18"/>
      <c r="AT1121" s="18"/>
      <c r="AU1121" s="18"/>
      <c r="AV1121" s="18"/>
      <c r="AW1121" s="18"/>
      <c r="AX1121" s="18"/>
      <c r="AY1121" s="18"/>
      <c r="AZ1121" s="18"/>
      <c r="BA1121" s="18"/>
      <c r="BB1121" s="18"/>
      <c r="BC1121" s="18"/>
    </row>
    <row r="1122" spans="1:55" ht="15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  <c r="R1122" s="18"/>
      <c r="S1122" s="18"/>
      <c r="T1122" s="18"/>
      <c r="U1122" s="18"/>
      <c r="V1122" s="18"/>
      <c r="W1122" s="18"/>
      <c r="X1122" s="18"/>
      <c r="Y1122" s="18"/>
      <c r="Z1122" s="18"/>
      <c r="AA1122" s="18"/>
      <c r="AB1122" s="18"/>
      <c r="AC1122" s="18"/>
      <c r="AD1122" s="18"/>
      <c r="AE1122" s="18"/>
      <c r="AF1122" s="18"/>
      <c r="AG1122" s="18"/>
      <c r="AH1122" s="18"/>
      <c r="AI1122" s="18"/>
      <c r="AJ1122" s="18"/>
      <c r="AK1122" s="18"/>
      <c r="AL1122" s="18"/>
      <c r="AM1122" s="18"/>
      <c r="AN1122" s="18"/>
      <c r="AO1122" s="18"/>
      <c r="AP1122" s="18"/>
      <c r="AQ1122" s="18"/>
      <c r="AR1122" s="18"/>
      <c r="AS1122" s="18"/>
      <c r="AT1122" s="18"/>
      <c r="AU1122" s="18"/>
      <c r="AV1122" s="18"/>
      <c r="AW1122" s="18"/>
      <c r="AX1122" s="18"/>
      <c r="AY1122" s="18"/>
      <c r="AZ1122" s="18"/>
      <c r="BA1122" s="18"/>
      <c r="BB1122" s="18"/>
      <c r="BC1122" s="18"/>
    </row>
    <row r="1123" spans="1:55" ht="15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  <c r="S1123" s="18"/>
      <c r="T1123" s="18"/>
      <c r="U1123" s="18"/>
      <c r="V1123" s="18"/>
      <c r="W1123" s="18"/>
      <c r="X1123" s="18"/>
      <c r="Y1123" s="18"/>
      <c r="Z1123" s="18"/>
      <c r="AA1123" s="18"/>
      <c r="AB1123" s="18"/>
      <c r="AC1123" s="18"/>
      <c r="AD1123" s="18"/>
      <c r="AE1123" s="18"/>
      <c r="AF1123" s="18"/>
      <c r="AG1123" s="18"/>
      <c r="AH1123" s="18"/>
      <c r="AI1123" s="18"/>
      <c r="AJ1123" s="18"/>
      <c r="AK1123" s="18"/>
      <c r="AL1123" s="18"/>
      <c r="AM1123" s="18"/>
      <c r="AN1123" s="18"/>
      <c r="AO1123" s="18"/>
      <c r="AP1123" s="18"/>
      <c r="AQ1123" s="18"/>
      <c r="AR1123" s="18"/>
      <c r="AS1123" s="18"/>
      <c r="AT1123" s="18"/>
      <c r="AU1123" s="18"/>
      <c r="AV1123" s="18"/>
      <c r="AW1123" s="18"/>
      <c r="AX1123" s="18"/>
      <c r="AY1123" s="18"/>
      <c r="AZ1123" s="18"/>
      <c r="BA1123" s="18"/>
      <c r="BB1123" s="18"/>
      <c r="BC1123" s="18"/>
    </row>
    <row r="1124" spans="1:55" ht="15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  <c r="R1124" s="18"/>
      <c r="S1124" s="18"/>
      <c r="T1124" s="18"/>
      <c r="U1124" s="18"/>
      <c r="V1124" s="18"/>
      <c r="W1124" s="18"/>
      <c r="X1124" s="18"/>
      <c r="Y1124" s="18"/>
      <c r="Z1124" s="18"/>
      <c r="AA1124" s="18"/>
      <c r="AB1124" s="18"/>
      <c r="AC1124" s="18"/>
      <c r="AD1124" s="18"/>
      <c r="AE1124" s="18"/>
      <c r="AF1124" s="18"/>
      <c r="AG1124" s="18"/>
      <c r="AH1124" s="18"/>
      <c r="AI1124" s="18"/>
      <c r="AJ1124" s="18"/>
      <c r="AK1124" s="18"/>
      <c r="AL1124" s="18"/>
      <c r="AM1124" s="18"/>
      <c r="AN1124" s="18"/>
      <c r="AO1124" s="18"/>
      <c r="AP1124" s="18"/>
      <c r="AQ1124" s="18"/>
      <c r="AR1124" s="18"/>
      <c r="AS1124" s="18"/>
      <c r="AT1124" s="18"/>
      <c r="AU1124" s="18"/>
      <c r="AV1124" s="18"/>
      <c r="AW1124" s="18"/>
      <c r="AX1124" s="18"/>
      <c r="AY1124" s="18"/>
      <c r="AZ1124" s="18"/>
      <c r="BA1124" s="18"/>
      <c r="BB1124" s="18"/>
      <c r="BC1124" s="18"/>
    </row>
    <row r="1125" spans="1:55" ht="15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  <c r="V1125" s="18"/>
      <c r="W1125" s="18"/>
      <c r="X1125" s="18"/>
      <c r="Y1125" s="18"/>
      <c r="Z1125" s="18"/>
      <c r="AA1125" s="18"/>
      <c r="AB1125" s="18"/>
      <c r="AC1125" s="18"/>
      <c r="AD1125" s="18"/>
      <c r="AE1125" s="18"/>
      <c r="AF1125" s="18"/>
      <c r="AG1125" s="18"/>
      <c r="AH1125" s="18"/>
      <c r="AI1125" s="18"/>
      <c r="AJ1125" s="18"/>
      <c r="AK1125" s="18"/>
      <c r="AL1125" s="18"/>
      <c r="AM1125" s="18"/>
      <c r="AN1125" s="18"/>
      <c r="AO1125" s="18"/>
      <c r="AP1125" s="18"/>
      <c r="AQ1125" s="18"/>
      <c r="AR1125" s="18"/>
      <c r="AS1125" s="18"/>
      <c r="AT1125" s="18"/>
      <c r="AU1125" s="18"/>
      <c r="AV1125" s="18"/>
      <c r="AW1125" s="18"/>
      <c r="AX1125" s="18"/>
      <c r="AY1125" s="18"/>
      <c r="AZ1125" s="18"/>
      <c r="BA1125" s="18"/>
      <c r="BB1125" s="18"/>
      <c r="BC1125" s="18"/>
    </row>
    <row r="1126" spans="1:55" ht="15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  <c r="V1126" s="18"/>
      <c r="W1126" s="18"/>
      <c r="X1126" s="18"/>
      <c r="Y1126" s="18"/>
      <c r="Z1126" s="18"/>
      <c r="AA1126" s="18"/>
      <c r="AB1126" s="18"/>
      <c r="AC1126" s="18"/>
      <c r="AD1126" s="18"/>
      <c r="AE1126" s="18"/>
      <c r="AF1126" s="18"/>
      <c r="AG1126" s="18"/>
      <c r="AH1126" s="18"/>
      <c r="AI1126" s="18"/>
      <c r="AJ1126" s="18"/>
      <c r="AK1126" s="18"/>
      <c r="AL1126" s="18"/>
      <c r="AM1126" s="18"/>
      <c r="AN1126" s="18"/>
      <c r="AO1126" s="18"/>
      <c r="AP1126" s="18"/>
      <c r="AQ1126" s="18"/>
      <c r="AR1126" s="18"/>
      <c r="AS1126" s="18"/>
      <c r="AT1126" s="18"/>
      <c r="AU1126" s="18"/>
      <c r="AV1126" s="18"/>
      <c r="AW1126" s="18"/>
      <c r="AX1126" s="18"/>
      <c r="AY1126" s="18"/>
      <c r="AZ1126" s="18"/>
      <c r="BA1126" s="18"/>
      <c r="BB1126" s="18"/>
      <c r="BC1126" s="18"/>
    </row>
    <row r="1127" spans="1:55" ht="15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  <c r="R1127" s="18"/>
      <c r="S1127" s="18"/>
      <c r="T1127" s="18"/>
      <c r="U1127" s="18"/>
      <c r="V1127" s="18"/>
      <c r="W1127" s="18"/>
      <c r="X1127" s="18"/>
      <c r="Y1127" s="18"/>
      <c r="Z1127" s="18"/>
      <c r="AA1127" s="18"/>
      <c r="AB1127" s="18"/>
      <c r="AC1127" s="18"/>
      <c r="AD1127" s="18"/>
      <c r="AE1127" s="18"/>
      <c r="AF1127" s="18"/>
      <c r="AG1127" s="18"/>
      <c r="AH1127" s="18"/>
      <c r="AI1127" s="18"/>
      <c r="AJ1127" s="18"/>
      <c r="AK1127" s="18"/>
      <c r="AL1127" s="18"/>
      <c r="AM1127" s="18"/>
      <c r="AN1127" s="18"/>
      <c r="AO1127" s="18"/>
      <c r="AP1127" s="18"/>
      <c r="AQ1127" s="18"/>
      <c r="AR1127" s="18"/>
      <c r="AS1127" s="18"/>
      <c r="AT1127" s="18"/>
      <c r="AU1127" s="18"/>
      <c r="AV1127" s="18"/>
      <c r="AW1127" s="18"/>
      <c r="AX1127" s="18"/>
      <c r="AY1127" s="18"/>
      <c r="AZ1127" s="18"/>
      <c r="BA1127" s="18"/>
      <c r="BB1127" s="18"/>
      <c r="BC1127" s="18"/>
    </row>
    <row r="1128" spans="1:55" ht="15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  <c r="R1128" s="18"/>
      <c r="S1128" s="18"/>
      <c r="T1128" s="18"/>
      <c r="U1128" s="18"/>
      <c r="V1128" s="18"/>
      <c r="W1128" s="18"/>
      <c r="X1128" s="18"/>
      <c r="Y1128" s="18"/>
      <c r="Z1128" s="18"/>
      <c r="AA1128" s="18"/>
      <c r="AB1128" s="18"/>
      <c r="AC1128" s="18"/>
      <c r="AD1128" s="18"/>
      <c r="AE1128" s="18"/>
      <c r="AF1128" s="18"/>
      <c r="AG1128" s="18"/>
      <c r="AH1128" s="18"/>
      <c r="AI1128" s="18"/>
      <c r="AJ1128" s="18"/>
      <c r="AK1128" s="18"/>
      <c r="AL1128" s="18"/>
      <c r="AM1128" s="18"/>
      <c r="AN1128" s="18"/>
      <c r="AO1128" s="18"/>
      <c r="AP1128" s="18"/>
      <c r="AQ1128" s="18"/>
      <c r="AR1128" s="18"/>
      <c r="AS1128" s="18"/>
      <c r="AT1128" s="18"/>
      <c r="AU1128" s="18"/>
      <c r="AV1128" s="18"/>
      <c r="AW1128" s="18"/>
      <c r="AX1128" s="18"/>
      <c r="AY1128" s="18"/>
      <c r="AZ1128" s="18"/>
      <c r="BA1128" s="18"/>
      <c r="BB1128" s="18"/>
      <c r="BC1128" s="18"/>
    </row>
    <row r="1129" spans="1:55" ht="15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  <c r="R1129" s="18"/>
      <c r="S1129" s="18"/>
      <c r="T1129" s="18"/>
      <c r="U1129" s="18"/>
      <c r="V1129" s="18"/>
      <c r="W1129" s="18"/>
      <c r="X1129" s="18"/>
      <c r="Y1129" s="18"/>
      <c r="Z1129" s="18"/>
      <c r="AA1129" s="18"/>
      <c r="AB1129" s="18"/>
      <c r="AC1129" s="18"/>
      <c r="AD1129" s="18"/>
      <c r="AE1129" s="18"/>
      <c r="AF1129" s="18"/>
      <c r="AG1129" s="18"/>
      <c r="AH1129" s="18"/>
      <c r="AI1129" s="18"/>
      <c r="AJ1129" s="18"/>
      <c r="AK1129" s="18"/>
      <c r="AL1129" s="18"/>
      <c r="AM1129" s="18"/>
      <c r="AN1129" s="18"/>
      <c r="AO1129" s="18"/>
      <c r="AP1129" s="18"/>
      <c r="AQ1129" s="18"/>
      <c r="AR1129" s="18"/>
      <c r="AS1129" s="18"/>
      <c r="AT1129" s="18"/>
      <c r="AU1129" s="18"/>
      <c r="AV1129" s="18"/>
      <c r="AW1129" s="18"/>
      <c r="AX1129" s="18"/>
      <c r="AY1129" s="18"/>
      <c r="AZ1129" s="18"/>
      <c r="BA1129" s="18"/>
      <c r="BB1129" s="18"/>
      <c r="BC1129" s="18"/>
    </row>
    <row r="1130" spans="1:55" ht="15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  <c r="R1130" s="18"/>
      <c r="S1130" s="18"/>
      <c r="T1130" s="18"/>
      <c r="U1130" s="18"/>
      <c r="V1130" s="18"/>
      <c r="W1130" s="18"/>
      <c r="X1130" s="18"/>
      <c r="Y1130" s="18"/>
      <c r="Z1130" s="18"/>
      <c r="AA1130" s="18"/>
      <c r="AB1130" s="18"/>
      <c r="AC1130" s="18"/>
      <c r="AD1130" s="18"/>
      <c r="AE1130" s="18"/>
      <c r="AF1130" s="18"/>
      <c r="AG1130" s="18"/>
      <c r="AH1130" s="18"/>
      <c r="AI1130" s="18"/>
      <c r="AJ1130" s="18"/>
      <c r="AK1130" s="18"/>
      <c r="AL1130" s="18"/>
      <c r="AM1130" s="18"/>
      <c r="AN1130" s="18"/>
      <c r="AO1130" s="18"/>
      <c r="AP1130" s="18"/>
      <c r="AQ1130" s="18"/>
      <c r="AR1130" s="18"/>
      <c r="AS1130" s="18"/>
      <c r="AT1130" s="18"/>
      <c r="AU1130" s="18"/>
      <c r="AV1130" s="18"/>
      <c r="AW1130" s="18"/>
      <c r="AX1130" s="18"/>
      <c r="AY1130" s="18"/>
      <c r="AZ1130" s="18"/>
      <c r="BA1130" s="18"/>
      <c r="BB1130" s="18"/>
      <c r="BC1130" s="18"/>
    </row>
    <row r="1131" spans="1:55" ht="15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/>
      <c r="W1131" s="18"/>
      <c r="X1131" s="18"/>
      <c r="Y1131" s="18"/>
      <c r="Z1131" s="18"/>
      <c r="AA1131" s="18"/>
      <c r="AB1131" s="18"/>
      <c r="AC1131" s="18"/>
      <c r="AD1131" s="18"/>
      <c r="AE1131" s="18"/>
      <c r="AF1131" s="18"/>
      <c r="AG1131" s="18"/>
      <c r="AH1131" s="18"/>
      <c r="AI1131" s="18"/>
      <c r="AJ1131" s="18"/>
      <c r="AK1131" s="18"/>
      <c r="AL1131" s="18"/>
      <c r="AM1131" s="18"/>
      <c r="AN1131" s="18"/>
      <c r="AO1131" s="18"/>
      <c r="AP1131" s="18"/>
      <c r="AQ1131" s="18"/>
      <c r="AR1131" s="18"/>
      <c r="AS1131" s="18"/>
      <c r="AT1131" s="18"/>
      <c r="AU1131" s="18"/>
      <c r="AV1131" s="18"/>
      <c r="AW1131" s="18"/>
      <c r="AX1131" s="18"/>
      <c r="AY1131" s="18"/>
      <c r="AZ1131" s="18"/>
      <c r="BA1131" s="18"/>
      <c r="BB1131" s="18"/>
      <c r="BC1131" s="18"/>
    </row>
    <row r="1132" spans="1:55" ht="15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  <c r="AA1132" s="18"/>
      <c r="AB1132" s="18"/>
      <c r="AC1132" s="18"/>
      <c r="AD1132" s="18"/>
      <c r="AE1132" s="18"/>
      <c r="AF1132" s="18"/>
      <c r="AG1132" s="18"/>
      <c r="AH1132" s="18"/>
      <c r="AI1132" s="18"/>
      <c r="AJ1132" s="18"/>
      <c r="AK1132" s="18"/>
      <c r="AL1132" s="18"/>
      <c r="AM1132" s="18"/>
      <c r="AN1132" s="18"/>
      <c r="AO1132" s="18"/>
      <c r="AP1132" s="18"/>
      <c r="AQ1132" s="18"/>
      <c r="AR1132" s="18"/>
      <c r="AS1132" s="18"/>
      <c r="AT1132" s="18"/>
      <c r="AU1132" s="18"/>
      <c r="AV1132" s="18"/>
      <c r="AW1132" s="18"/>
      <c r="AX1132" s="18"/>
      <c r="AY1132" s="18"/>
      <c r="AZ1132" s="18"/>
      <c r="BA1132" s="18"/>
      <c r="BB1132" s="18"/>
      <c r="BC1132" s="18"/>
    </row>
    <row r="1133" spans="1:55" ht="15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  <c r="R1133" s="18"/>
      <c r="S1133" s="18"/>
      <c r="T1133" s="18"/>
      <c r="U1133" s="18"/>
      <c r="V1133" s="18"/>
      <c r="W1133" s="18"/>
      <c r="X1133" s="18"/>
      <c r="Y1133" s="18"/>
      <c r="Z1133" s="18"/>
      <c r="AA1133" s="18"/>
      <c r="AB1133" s="18"/>
      <c r="AC1133" s="18"/>
      <c r="AD1133" s="18"/>
      <c r="AE1133" s="18"/>
      <c r="AF1133" s="18"/>
      <c r="AG1133" s="18"/>
      <c r="AH1133" s="18"/>
      <c r="AI1133" s="18"/>
      <c r="AJ1133" s="18"/>
      <c r="AK1133" s="18"/>
      <c r="AL1133" s="18"/>
      <c r="AM1133" s="18"/>
      <c r="AN1133" s="18"/>
      <c r="AO1133" s="18"/>
      <c r="AP1133" s="18"/>
      <c r="AQ1133" s="18"/>
      <c r="AR1133" s="18"/>
      <c r="AS1133" s="18"/>
      <c r="AT1133" s="18"/>
      <c r="AU1133" s="18"/>
      <c r="AV1133" s="18"/>
      <c r="AW1133" s="18"/>
      <c r="AX1133" s="18"/>
      <c r="AY1133" s="18"/>
      <c r="AZ1133" s="18"/>
      <c r="BA1133" s="18"/>
      <c r="BB1133" s="18"/>
      <c r="BC1133" s="18"/>
    </row>
    <row r="1134" spans="1:55" ht="15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  <c r="R1134" s="18"/>
      <c r="S1134" s="18"/>
      <c r="T1134" s="18"/>
      <c r="U1134" s="18"/>
      <c r="V1134" s="18"/>
      <c r="W1134" s="18"/>
      <c r="X1134" s="18"/>
      <c r="Y1134" s="18"/>
      <c r="Z1134" s="18"/>
      <c r="AA1134" s="18"/>
      <c r="AB1134" s="18"/>
      <c r="AC1134" s="18"/>
      <c r="AD1134" s="18"/>
      <c r="AE1134" s="18"/>
      <c r="AF1134" s="18"/>
      <c r="AG1134" s="18"/>
      <c r="AH1134" s="18"/>
      <c r="AI1134" s="18"/>
      <c r="AJ1134" s="18"/>
      <c r="AK1134" s="18"/>
      <c r="AL1134" s="18"/>
      <c r="AM1134" s="18"/>
      <c r="AN1134" s="18"/>
      <c r="AO1134" s="18"/>
      <c r="AP1134" s="18"/>
      <c r="AQ1134" s="18"/>
      <c r="AR1134" s="18"/>
      <c r="AS1134" s="18"/>
      <c r="AT1134" s="18"/>
      <c r="AU1134" s="18"/>
      <c r="AV1134" s="18"/>
      <c r="AW1134" s="18"/>
      <c r="AX1134" s="18"/>
      <c r="AY1134" s="18"/>
      <c r="AZ1134" s="18"/>
      <c r="BA1134" s="18"/>
      <c r="BB1134" s="18"/>
      <c r="BC1134" s="18"/>
    </row>
    <row r="1135" spans="1:55" ht="15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/>
      <c r="AJ1135" s="18"/>
      <c r="AK1135" s="18"/>
      <c r="AL1135" s="18"/>
      <c r="AM1135" s="18"/>
      <c r="AN1135" s="18"/>
      <c r="AO1135" s="18"/>
      <c r="AP1135" s="18"/>
      <c r="AQ1135" s="18"/>
      <c r="AR1135" s="18"/>
      <c r="AS1135" s="18"/>
      <c r="AT1135" s="18"/>
      <c r="AU1135" s="18"/>
      <c r="AV1135" s="18"/>
      <c r="AW1135" s="18"/>
      <c r="AX1135" s="18"/>
      <c r="AY1135" s="18"/>
      <c r="AZ1135" s="18"/>
      <c r="BA1135" s="18"/>
      <c r="BB1135" s="18"/>
      <c r="BC1135" s="18"/>
    </row>
    <row r="1136" spans="1:55" ht="15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  <c r="R1136" s="18"/>
      <c r="S1136" s="18"/>
      <c r="T1136" s="18"/>
      <c r="U1136" s="18"/>
      <c r="V1136" s="18"/>
      <c r="W1136" s="18"/>
      <c r="X1136" s="18"/>
      <c r="Y1136" s="18"/>
      <c r="Z1136" s="18"/>
      <c r="AA1136" s="18"/>
      <c r="AB1136" s="18"/>
      <c r="AC1136" s="18"/>
      <c r="AD1136" s="18"/>
      <c r="AE1136" s="18"/>
      <c r="AF1136" s="18"/>
      <c r="AG1136" s="18"/>
      <c r="AH1136" s="18"/>
      <c r="AI1136" s="18"/>
      <c r="AJ1136" s="18"/>
      <c r="AK1136" s="18"/>
      <c r="AL1136" s="18"/>
      <c r="AM1136" s="18"/>
      <c r="AN1136" s="18"/>
      <c r="AO1136" s="18"/>
      <c r="AP1136" s="18"/>
      <c r="AQ1136" s="18"/>
      <c r="AR1136" s="18"/>
      <c r="AS1136" s="18"/>
      <c r="AT1136" s="18"/>
      <c r="AU1136" s="18"/>
      <c r="AV1136" s="18"/>
      <c r="AW1136" s="18"/>
      <c r="AX1136" s="18"/>
      <c r="AY1136" s="18"/>
      <c r="AZ1136" s="18"/>
      <c r="BA1136" s="18"/>
      <c r="BB1136" s="18"/>
      <c r="BC1136" s="18"/>
    </row>
    <row r="1137" spans="1:55" ht="15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  <c r="S1137" s="18"/>
      <c r="T1137" s="18"/>
      <c r="U1137" s="18"/>
      <c r="V1137" s="18"/>
      <c r="W1137" s="18"/>
      <c r="X1137" s="18"/>
      <c r="Y1137" s="18"/>
      <c r="Z1137" s="18"/>
      <c r="AA1137" s="18"/>
      <c r="AB1137" s="18"/>
      <c r="AC1137" s="18"/>
      <c r="AD1137" s="18"/>
      <c r="AE1137" s="18"/>
      <c r="AF1137" s="18"/>
      <c r="AG1137" s="18"/>
      <c r="AH1137" s="18"/>
      <c r="AI1137" s="18"/>
      <c r="AJ1137" s="18"/>
      <c r="AK1137" s="18"/>
      <c r="AL1137" s="18"/>
      <c r="AM1137" s="18"/>
      <c r="AN1137" s="18"/>
      <c r="AO1137" s="18"/>
      <c r="AP1137" s="18"/>
      <c r="AQ1137" s="18"/>
      <c r="AR1137" s="18"/>
      <c r="AS1137" s="18"/>
      <c r="AT1137" s="18"/>
      <c r="AU1137" s="18"/>
      <c r="AV1137" s="18"/>
      <c r="AW1137" s="18"/>
      <c r="AX1137" s="18"/>
      <c r="AY1137" s="18"/>
      <c r="AZ1137" s="18"/>
      <c r="BA1137" s="18"/>
      <c r="BB1137" s="18"/>
      <c r="BC1137" s="18"/>
    </row>
    <row r="1138" spans="1:55" ht="15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  <c r="AF1138" s="18"/>
      <c r="AG1138" s="18"/>
      <c r="AH1138" s="18"/>
      <c r="AI1138" s="18"/>
      <c r="AJ1138" s="18"/>
      <c r="AK1138" s="18"/>
      <c r="AL1138" s="18"/>
      <c r="AM1138" s="18"/>
      <c r="AN1138" s="18"/>
      <c r="AO1138" s="18"/>
      <c r="AP1138" s="18"/>
      <c r="AQ1138" s="18"/>
      <c r="AR1138" s="18"/>
      <c r="AS1138" s="18"/>
      <c r="AT1138" s="18"/>
      <c r="AU1138" s="18"/>
      <c r="AV1138" s="18"/>
      <c r="AW1138" s="18"/>
      <c r="AX1138" s="18"/>
      <c r="AY1138" s="18"/>
      <c r="AZ1138" s="18"/>
      <c r="BA1138" s="18"/>
      <c r="BB1138" s="18"/>
      <c r="BC1138" s="18"/>
    </row>
    <row r="1139" spans="1:55" ht="15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  <c r="W1139" s="18"/>
      <c r="X1139" s="18"/>
      <c r="Y1139" s="18"/>
      <c r="Z1139" s="18"/>
      <c r="AA1139" s="18"/>
      <c r="AB1139" s="18"/>
      <c r="AC1139" s="18"/>
      <c r="AD1139" s="18"/>
      <c r="AE1139" s="18"/>
      <c r="AF1139" s="18"/>
      <c r="AG1139" s="18"/>
      <c r="AH1139" s="18"/>
      <c r="AI1139" s="18"/>
      <c r="AJ1139" s="18"/>
      <c r="AK1139" s="18"/>
      <c r="AL1139" s="18"/>
      <c r="AM1139" s="18"/>
      <c r="AN1139" s="18"/>
      <c r="AO1139" s="18"/>
      <c r="AP1139" s="18"/>
      <c r="AQ1139" s="18"/>
      <c r="AR1139" s="18"/>
      <c r="AS1139" s="18"/>
      <c r="AT1139" s="18"/>
      <c r="AU1139" s="18"/>
      <c r="AV1139" s="18"/>
      <c r="AW1139" s="18"/>
      <c r="AX1139" s="18"/>
      <c r="AY1139" s="18"/>
      <c r="AZ1139" s="18"/>
      <c r="BA1139" s="18"/>
      <c r="BB1139" s="18"/>
      <c r="BC1139" s="18"/>
    </row>
  </sheetData>
  <printOptions/>
  <pageMargins left="0.75" right="0.75" top="1" bottom="1" header="0.5" footer="0.5"/>
  <pageSetup fitToHeight="1" fitToWidth="1" horizontalDpi="300" verticalDpi="3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B21:I32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9.00390625" style="2" customWidth="1"/>
    <col min="2" max="2" width="9.875" style="2" bestFit="1" customWidth="1"/>
    <col min="3" max="7" width="9.00390625" style="2" customWidth="1"/>
    <col min="8" max="8" width="9.00390625" style="1" customWidth="1"/>
    <col min="9" max="16384" width="9.00390625" style="2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spans="2:7" ht="14.25">
      <c r="B21" s="3" t="s">
        <v>361</v>
      </c>
      <c r="C21" s="3"/>
      <c r="D21" s="3"/>
      <c r="E21" s="3"/>
      <c r="F21" s="3"/>
      <c r="G21" s="3"/>
    </row>
    <row r="22" spans="2:9" ht="14.25">
      <c r="B22" s="3" t="s">
        <v>363</v>
      </c>
      <c r="C22" s="3"/>
      <c r="D22" s="3"/>
      <c r="E22" s="3"/>
      <c r="F22" s="3"/>
      <c r="G22" s="3"/>
      <c r="H22" s="3"/>
      <c r="I22" s="3"/>
    </row>
    <row r="23" spans="2:9" ht="14.25">
      <c r="B23" s="2" t="s">
        <v>362</v>
      </c>
      <c r="H23" s="3"/>
      <c r="I23" s="3"/>
    </row>
    <row r="25" spans="2:6" ht="14.25">
      <c r="B25" s="2" t="s">
        <v>364</v>
      </c>
      <c r="D25" s="2" t="s">
        <v>365</v>
      </c>
      <c r="F25" s="2" t="s">
        <v>366</v>
      </c>
    </row>
    <row r="26" spans="2:6" ht="14.25">
      <c r="B26" s="4">
        <v>36404</v>
      </c>
      <c r="D26" s="6">
        <f>F26*$D$30</f>
        <v>26.650000000000002</v>
      </c>
      <c r="F26" s="5">
        <v>0.65</v>
      </c>
    </row>
    <row r="27" spans="2:6" ht="14.25">
      <c r="B27" s="4">
        <v>36413</v>
      </c>
      <c r="D27" s="6">
        <f>F27*$D$30</f>
        <v>33.21</v>
      </c>
      <c r="F27" s="5">
        <v>0.81</v>
      </c>
    </row>
    <row r="28" spans="2:6" ht="14.25">
      <c r="B28" s="4">
        <v>36418</v>
      </c>
      <c r="D28" s="6">
        <f>F28*$D$30</f>
        <v>36.08</v>
      </c>
      <c r="F28" s="5">
        <v>0.88</v>
      </c>
    </row>
    <row r="29" spans="2:6" ht="14.25">
      <c r="B29" s="4">
        <v>36423</v>
      </c>
      <c r="D29" s="6">
        <f>F29*$D$30</f>
        <v>38.13</v>
      </c>
      <c r="F29" s="5">
        <v>0.93</v>
      </c>
    </row>
    <row r="30" spans="2:6" ht="14.25">
      <c r="B30" s="4">
        <v>36439</v>
      </c>
      <c r="D30" s="6">
        <v>41</v>
      </c>
      <c r="F30" s="5">
        <v>1</v>
      </c>
    </row>
    <row r="31" ht="14.25">
      <c r="B31" s="4"/>
    </row>
    <row r="32" ht="14.25">
      <c r="B32" s="4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ag_econ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&gt;State Statisticsl Report R:page88</dc:title>
  <dc:subject/>
  <dc:creator>Francis Epplin</dc:creator>
  <cp:keywords/>
  <dc:description/>
  <cp:lastModifiedBy>Agecon</cp:lastModifiedBy>
  <cp:lastPrinted>1999-07-23T18:47:50Z</cp:lastPrinted>
  <dcterms:created xsi:type="dcterms:W3CDTF">1998-03-23T15:43:34Z</dcterms:created>
  <dcterms:modified xsi:type="dcterms:W3CDTF">2001-10-26T20:12:02Z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