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100" activeTab="0"/>
  </bookViews>
  <sheets>
    <sheet name="CowBidPrice" sheetId="1" r:id="rId1"/>
  </sheets>
  <definedNames>
    <definedName name="_xlfn.IFERROR" hidden="1">#NAME?</definedName>
    <definedName name="_xlnm.Print_Area" localSheetId="0">'CowBidPrice'!$A$101:$L$126</definedName>
  </definedNames>
  <calcPr fullCalcOnLoad="1"/>
</workbook>
</file>

<file path=xl/comments1.xml><?xml version="1.0" encoding="utf-8"?>
<comments xmlns="http://schemas.openxmlformats.org/spreadsheetml/2006/main">
  <authors>
    <author>lfalcone</author>
  </authors>
  <commentList>
    <comment ref="G7" authorId="0">
      <text>
        <r>
          <rPr>
            <sz val="11"/>
            <rFont val="Tahoma"/>
            <family val="2"/>
          </rPr>
          <t>Enter the annual rate of return you require for the investment in the cow. The discount rate should be selected such that it provides a rate of return comparable to an investment of similar risk.</t>
        </r>
      </text>
    </comment>
    <comment ref="G5" authorId="0">
      <text>
        <r>
          <rPr>
            <sz val="11"/>
            <rFont val="Tahoma"/>
            <family val="2"/>
          </rPr>
          <t>Enter the expected sale weight for this cow when she is culled from the herd. This weight will be used to calculate the salvage value for the cow and will be added to the cash flow generated by the sale of her calf in the last year for revenue calculation.</t>
        </r>
      </text>
    </comment>
    <comment ref="B5" authorId="0">
      <text>
        <r>
          <rPr>
            <sz val="11"/>
            <rFont val="Tahoma"/>
            <family val="2"/>
          </rPr>
          <t>Enter the expected weaning weight of the steer calves that you expect this cow to produce over her useful life. This weight will be used along with the steer price entered for each year to calculate an average calf value for cash flow calculations. This model assumes that there is a 50%/50% chance in any year that the cow will produce a steer or a heifer calf.</t>
        </r>
      </text>
    </comment>
    <comment ref="B6" authorId="0">
      <text>
        <r>
          <rPr>
            <sz val="11"/>
            <rFont val="Tahoma"/>
            <family val="2"/>
          </rPr>
          <t>Enter the expected weaning weight of heifer calves that this cow will produce over her useful life. This weight will be used along with the heifer price entered for each year to calculate an average calf value for cash flow calculations. This model assumes that there is a 50%/50% chance in any year that the cow will produce a steer or a heifer calf.</t>
        </r>
      </text>
    </comment>
    <comment ref="B7" authorId="0">
      <text>
        <r>
          <rPr>
            <sz val="11"/>
            <rFont val="Tahoma"/>
            <family val="2"/>
          </rPr>
          <t>Enter the bid price for the cow or cow/calf pair in dollars per head. This should be the average price per head if you are analyzing the economic feasibility of purchasing a group of cows. This value will be the initial investment used in the net present value calculation. If you include financing in this bid price analysis, this value will serve as the basis for calculating the down payment and any interest and principal payments.</t>
        </r>
      </text>
    </comment>
    <comment ref="I8" authorId="0">
      <text>
        <r>
          <rPr>
            <sz val="11"/>
            <rFont val="Tahoma"/>
            <family val="2"/>
          </rPr>
          <t>If the NPV is zero or greater, the investment is returning at least the discount rate of return. If NPV is less than zero, the investment in the cow will not generate the specified return requirement. The NPV calculation directly accounts for the time value of money, so it is a superior investment analysis tool compared to a simple rate of return or payback period calculation.</t>
        </r>
      </text>
    </comment>
    <comment ref="G6" authorId="0">
      <text>
        <r>
          <rPr>
            <sz val="11"/>
            <rFont val="Tahoma"/>
            <family val="2"/>
          </rPr>
          <t>Enter the number of years you expect this cow will be able to produce a calf. This value will determine the length of the net present value calculation carried out within the model. The model is programmed to handle a maximum of planning horizon of eight years.</t>
        </r>
      </text>
    </comment>
    <comment ref="B10" authorId="0">
      <text>
        <r>
          <rPr>
            <sz val="11"/>
            <rFont val="Tahoma"/>
            <family val="2"/>
          </rPr>
          <t>Enter the beginning year for the analysis. This value will be used for reporting purposes only.</t>
        </r>
      </text>
    </comment>
    <comment ref="B12" authorId="0">
      <text>
        <r>
          <rPr>
            <sz val="11"/>
            <rFont val="Tahoma"/>
            <family val="2"/>
          </rPr>
          <t xml:space="preserve">Enter the expected chance of this cow weaning a calf in the specified year. For the analysis of an individual cow, this number will either be 100 or 0. If this analysis is for a group of cows, you can specify the expected weaning percentage (for example, 85 to represent an 85% weaned calf crop) that will be used to adjust the receipts from calf sales. </t>
        </r>
      </text>
    </comment>
    <comment ref="B13" authorId="0">
      <text>
        <r>
          <rPr>
            <sz val="11"/>
            <rFont val="Tahoma"/>
            <family val="2"/>
          </rPr>
          <t>Enter the steer calf prices in dollars per hundredweight and net of marketing cost. These prices are used to generate the annual gross receipts from calf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B14" authorId="0">
      <text>
        <r>
          <rPr>
            <sz val="11"/>
            <rFont val="Tahoma"/>
            <family val="2"/>
          </rPr>
          <t>Enter the heifer calf prices in dollars per hundredweight and net of marketing cost. These prices are used to generate the annual gross receipts from calf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B20" authorId="0">
      <text>
        <r>
          <rPr>
            <sz val="11"/>
            <rFont val="Tahoma"/>
            <family val="2"/>
          </rPr>
          <t>Cow operating costs are all the costs of maintaining the cow on an annual basis except cow depreciation and interest.</t>
        </r>
      </text>
    </comment>
    <comment ref="B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B27" authorId="0">
      <text>
        <r>
          <rPr>
            <sz val="11"/>
            <rFont val="Tahoma"/>
            <family val="2"/>
          </rPr>
          <t>To analyze a scenario that includes financing the purchase of the cow, enter the percentage of the purchase price (the % down payment)  required by the lending institution.</t>
        </r>
      </text>
    </comment>
    <comment ref="B29" authorId="0">
      <text>
        <r>
          <rPr>
            <sz val="11"/>
            <rFont val="Tahoma"/>
            <family val="2"/>
          </rPr>
          <t>To analyze a scenario that includes financing the purchase of the cow, enter the length of the financing arrangement under consideration. The model can handle a note up to a maximum of 7 years.</t>
        </r>
      </text>
    </comment>
    <comment ref="B31" authorId="0">
      <text>
        <r>
          <rPr>
            <sz val="11"/>
            <rFont val="Tahoma"/>
            <family val="2"/>
          </rPr>
          <t>To analyze a scenario that includes financing the purchase of the cow, enter the interest rate of the financing arrangement under consideration (for example, 8.00 for 8%).</t>
        </r>
      </text>
    </comment>
    <comment ref="C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D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E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F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G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H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B15" authorId="0">
      <text>
        <r>
          <rPr>
            <sz val="11"/>
            <rFont val="Tahoma"/>
            <family val="2"/>
          </rPr>
          <t>Enter the cull cow price in dollars per hundredweight in the year of disposal. The price is used to generate the gross receipts from cull cow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I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List>
</comments>
</file>

<file path=xl/sharedStrings.xml><?xml version="1.0" encoding="utf-8"?>
<sst xmlns="http://schemas.openxmlformats.org/spreadsheetml/2006/main" count="54" uniqueCount="53">
  <si>
    <t>Year</t>
  </si>
  <si>
    <t>Lb.</t>
  </si>
  <si>
    <t>%</t>
  </si>
  <si>
    <t xml:space="preserve">Net Present </t>
  </si>
  <si>
    <t>Cow Price ($/Head)</t>
  </si>
  <si>
    <t>Calf Crop or Weaning %</t>
  </si>
  <si>
    <t>Steers Price ($/Cwt)</t>
  </si>
  <si>
    <t>Heifer Price ($/Cwt)</t>
  </si>
  <si>
    <t>Cull Cow Price ($/Cwt)</t>
  </si>
  <si>
    <t>Gross Receipts (Calf Sales)</t>
  </si>
  <si>
    <t>Cow Operating Cost/Year</t>
  </si>
  <si>
    <t>Net Above Operating Cost</t>
  </si>
  <si>
    <t>Equity Requirement (%)</t>
  </si>
  <si>
    <t>Equals</t>
  </si>
  <si>
    <t>Per Head</t>
  </si>
  <si>
    <t>Length of Note (Years)</t>
  </si>
  <si>
    <t>Interest Rate (%)</t>
  </si>
  <si>
    <t>Totals</t>
  </si>
  <si>
    <t>Interest Payment</t>
  </si>
  <si>
    <t>Principal Payment</t>
  </si>
  <si>
    <t>Debt Service Requirement</t>
  </si>
  <si>
    <t>Depreciation %</t>
  </si>
  <si>
    <t>Depreciation Expense</t>
  </si>
  <si>
    <t>Cash Flow Available</t>
  </si>
  <si>
    <t>for Debt Service</t>
  </si>
  <si>
    <t>Net Cash Flow</t>
  </si>
  <si>
    <t xml:space="preserve">Cow Salvage Value </t>
  </si>
  <si>
    <t>Year 0</t>
  </si>
  <si>
    <t>Year 1</t>
  </si>
  <si>
    <t>Analysis Section</t>
  </si>
  <si>
    <t>Financing Information</t>
  </si>
  <si>
    <t>Check for payback period</t>
  </si>
  <si>
    <t xml:space="preserve">         Cull Cow Sale Weight (Pounds/Head)  </t>
  </si>
  <si>
    <t xml:space="preserve">Number of Calving Opportunities (Years)  </t>
  </si>
  <si>
    <t xml:space="preserve">         Discount Rate (%)  </t>
  </si>
  <si>
    <t>Steer Weight (Pounds/Head)</t>
  </si>
  <si>
    <t>Heifer Weight (Pounds/Head)</t>
  </si>
  <si>
    <t>Value (NPV)</t>
  </si>
  <si>
    <t>Pre-Tax Cash Flows</t>
  </si>
  <si>
    <t>*Comments regarding this investment scenario. The analysis of this scenario is on a pre-tax basis.</t>
  </si>
  <si>
    <t>op cost</t>
  </si>
  <si>
    <t>repl cost</t>
  </si>
  <si>
    <t>NPV</t>
  </si>
  <si>
    <t>base</t>
  </si>
  <si>
    <t>initial payment</t>
  </si>
  <si>
    <t>Price</t>
  </si>
  <si>
    <t>Cow Operating Costs per Year</t>
  </si>
  <si>
    <t>Cow Investment Net Present Value Depending on Purchase Price and Production Cost</t>
  </si>
  <si>
    <t>Operating Cost Adjustment (%)</t>
  </si>
  <si>
    <t>Purchase Price Adjustment (%)</t>
  </si>
  <si>
    <t>Purchase</t>
  </si>
  <si>
    <t>Sensitivity Analysis</t>
  </si>
  <si>
    <r>
      <rPr>
        <sz val="18"/>
        <color indexed="8"/>
        <rFont val="Calibri"/>
        <family val="2"/>
      </rPr>
      <t>Cow Bid Price Estimate Calculator</t>
    </r>
    <r>
      <rPr>
        <sz val="10"/>
        <rFont val="Arial"/>
        <family val="2"/>
      </rPr>
      <t xml:space="preserve">
Texas Agrilife Extension and Oklahoma State University</t>
    </r>
    <r>
      <rPr>
        <sz val="16"/>
        <color indexed="8"/>
        <rFont val="Calibri"/>
        <family val="2"/>
      </rPr>
      <t xml:space="preserve">
</t>
    </r>
    <r>
      <rPr>
        <sz val="10"/>
        <rFont val="Arial"/>
        <family val="2"/>
      </rPr>
      <t xml:space="preserve">
Originally developed by
Lawrence Falconer, Professor, Texas Agrilife Extension Service and James McGrann, Professor Emeritus, Texas A&amp;M University
Update by
Lawrence Falconer, Mississippi State University and Damona Doye and Roger Sahs, Agricultural Economics, Oklahoma State University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</si>
</sst>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_);\(0.0\)"/>
    <numFmt numFmtId="167" formatCode="[$-409]dddd\,\ mmmm\ dd\,\ yyyy"/>
    <numFmt numFmtId="168" formatCode="[$-409]h:mm:ss\ AM/PM"/>
    <numFmt numFmtId="169" formatCode="0.000"/>
    <numFmt numFmtId="170" formatCode="0.0"/>
    <numFmt numFmtId="171" formatCode="0.00000"/>
    <numFmt numFmtId="172" formatCode="0.0000"/>
    <numFmt numFmtId="173" formatCode="&quot;$&quot;#,##0.00"/>
    <numFmt numFmtId="174" formatCode="&quot;$&quot;#,##0.0"/>
    <numFmt numFmtId="175" formatCode="&quot;$&quot;#,##0"/>
  </numFmts>
  <fonts count="50">
    <font>
      <sz val="10"/>
      <name val="Arial"/>
      <family val="0"/>
    </font>
    <font>
      <sz val="11"/>
      <color indexed="8"/>
      <name val="Calibri"/>
      <family val="2"/>
    </font>
    <font>
      <sz val="12"/>
      <color indexed="8"/>
      <name val="Arial"/>
      <family val="2"/>
    </font>
    <font>
      <sz val="12"/>
      <name val="Arial"/>
      <family val="2"/>
    </font>
    <font>
      <sz val="12"/>
      <color indexed="12"/>
      <name val="Arial"/>
      <family val="2"/>
    </font>
    <font>
      <b/>
      <sz val="12"/>
      <color indexed="8"/>
      <name val="Arial"/>
      <family val="2"/>
    </font>
    <font>
      <sz val="18"/>
      <color indexed="8"/>
      <name val="Calibri"/>
      <family val="2"/>
    </font>
    <font>
      <sz val="16"/>
      <color indexed="8"/>
      <name val="Calibri"/>
      <family val="2"/>
    </font>
    <font>
      <b/>
      <sz val="9"/>
      <name val="Tahoma"/>
      <family val="2"/>
    </font>
    <font>
      <u val="single"/>
      <sz val="12"/>
      <color indexed="8"/>
      <name val="Arial"/>
      <family val="2"/>
    </font>
    <font>
      <sz val="11"/>
      <name val="Tahoma"/>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color indexed="8"/>
      </bottom>
    </border>
    <border>
      <left/>
      <right/>
      <top/>
      <bottom style="thick">
        <color indexed="8"/>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right/>
      <top style="thin">
        <color indexed="8"/>
      </top>
      <bottom/>
    </border>
    <border>
      <left style="thin">
        <color indexed="8"/>
      </left>
      <right style="thin">
        <color indexed="8"/>
      </right>
      <top style="thin">
        <color indexed="8"/>
      </top>
      <bottom style="thin"/>
    </border>
    <border>
      <left/>
      <right/>
      <top style="thin"/>
      <bottom/>
    </border>
    <border>
      <left>
        <color indexed="63"/>
      </left>
      <right style="thin"/>
      <top style="thin"/>
      <bottom style="thin"/>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0">
    <xf numFmtId="0" fontId="0" fillId="0" borderId="0" xfId="0" applyAlignment="1">
      <alignment/>
    </xf>
    <xf numFmtId="5" fontId="3" fillId="0" borderId="0" xfId="0" applyNumberFormat="1" applyFont="1" applyAlignment="1">
      <alignment/>
    </xf>
    <xf numFmtId="0" fontId="5" fillId="0" borderId="0" xfId="0" applyNumberFormat="1" applyFont="1" applyAlignment="1">
      <alignment/>
    </xf>
    <xf numFmtId="0" fontId="3" fillId="0" borderId="0" xfId="0" applyNumberFormat="1" applyFont="1" applyAlignment="1">
      <alignment/>
    </xf>
    <xf numFmtId="0" fontId="0" fillId="0" borderId="0" xfId="0" applyFont="1" applyAlignment="1">
      <alignment/>
    </xf>
    <xf numFmtId="8" fontId="3" fillId="0" borderId="10" xfId="0" applyNumberFormat="1" applyFont="1" applyBorder="1" applyAlignment="1">
      <alignment/>
    </xf>
    <xf numFmtId="0" fontId="5" fillId="0" borderId="0" xfId="0" applyNumberFormat="1" applyFont="1" applyAlignment="1">
      <alignment horizontal="right"/>
    </xf>
    <xf numFmtId="0" fontId="3" fillId="0" borderId="11" xfId="0" applyNumberFormat="1" applyFont="1" applyBorder="1" applyAlignment="1">
      <alignment/>
    </xf>
    <xf numFmtId="0" fontId="3" fillId="0" borderId="0" xfId="0" applyNumberFormat="1" applyFont="1" applyAlignment="1">
      <alignment horizontal="center"/>
    </xf>
    <xf numFmtId="7" fontId="5" fillId="0" borderId="0" xfId="0" applyNumberFormat="1" applyFont="1" applyAlignment="1">
      <alignment/>
    </xf>
    <xf numFmtId="7" fontId="3" fillId="0" borderId="0" xfId="0" applyNumberFormat="1" applyFont="1" applyAlignment="1">
      <alignment/>
    </xf>
    <xf numFmtId="7" fontId="3" fillId="0" borderId="12" xfId="0" applyNumberFormat="1" applyFont="1" applyBorder="1" applyAlignment="1">
      <alignment/>
    </xf>
    <xf numFmtId="10" fontId="3" fillId="0" borderId="0" xfId="0" applyNumberFormat="1" applyFont="1" applyAlignment="1">
      <alignment/>
    </xf>
    <xf numFmtId="0" fontId="3" fillId="0" borderId="12" xfId="0" applyNumberFormat="1" applyFont="1" applyBorder="1" applyAlignment="1">
      <alignment/>
    </xf>
    <xf numFmtId="9" fontId="3" fillId="0" borderId="0" xfId="0" applyNumberFormat="1" applyFont="1" applyAlignment="1">
      <alignment/>
    </xf>
    <xf numFmtId="37" fontId="3" fillId="33" borderId="13" xfId="0" applyNumberFormat="1" applyFont="1" applyFill="1" applyBorder="1" applyAlignment="1" applyProtection="1">
      <alignment/>
      <protection locked="0"/>
    </xf>
    <xf numFmtId="5" fontId="3" fillId="33" borderId="13" xfId="0" applyNumberFormat="1" applyFont="1" applyFill="1" applyBorder="1" applyAlignment="1" applyProtection="1">
      <alignment/>
      <protection locked="0"/>
    </xf>
    <xf numFmtId="0" fontId="2" fillId="0" borderId="0" xfId="0" applyNumberFormat="1" applyFont="1" applyAlignment="1">
      <alignment/>
    </xf>
    <xf numFmtId="0" fontId="2" fillId="0" borderId="1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2" fillId="0" borderId="12" xfId="0" applyNumberFormat="1" applyFont="1" applyBorder="1" applyAlignment="1">
      <alignment/>
    </xf>
    <xf numFmtId="7" fontId="2" fillId="0" borderId="0" xfId="0" applyNumberFormat="1" applyFont="1" applyAlignment="1">
      <alignment/>
    </xf>
    <xf numFmtId="7" fontId="2" fillId="0" borderId="12" xfId="0" applyNumberFormat="1" applyFont="1" applyBorder="1" applyAlignment="1">
      <alignment/>
    </xf>
    <xf numFmtId="0" fontId="2" fillId="0" borderId="12" xfId="0" applyNumberFormat="1" applyFont="1" applyBorder="1" applyAlignment="1">
      <alignment horizontal="right"/>
    </xf>
    <xf numFmtId="0" fontId="2" fillId="0" borderId="0" xfId="0" applyNumberFormat="1" applyFont="1" applyAlignment="1">
      <alignment horizontal="center"/>
    </xf>
    <xf numFmtId="5" fontId="4" fillId="34" borderId="16" xfId="0" applyNumberFormat="1" applyFont="1" applyFill="1" applyBorder="1" applyAlignment="1" applyProtection="1">
      <alignment/>
      <protection locked="0"/>
    </xf>
    <xf numFmtId="0" fontId="47" fillId="0" borderId="11" xfId="0" applyNumberFormat="1" applyFont="1" applyBorder="1" applyAlignment="1">
      <alignment/>
    </xf>
    <xf numFmtId="165" fontId="3" fillId="33" borderId="10" xfId="0" applyNumberFormat="1" applyFont="1" applyFill="1" applyBorder="1" applyAlignment="1" applyProtection="1">
      <alignment/>
      <protection locked="0"/>
    </xf>
    <xf numFmtId="164" fontId="3" fillId="33" borderId="13" xfId="0" applyNumberFormat="1" applyFont="1" applyFill="1" applyBorder="1" applyAlignment="1" applyProtection="1">
      <alignment/>
      <protection locked="0"/>
    </xf>
    <xf numFmtId="164" fontId="3" fillId="33" borderId="17" xfId="0" applyNumberFormat="1" applyFont="1" applyFill="1" applyBorder="1" applyAlignment="1" applyProtection="1">
      <alignment/>
      <protection locked="0"/>
    </xf>
    <xf numFmtId="0" fontId="3" fillId="0" borderId="11" xfId="0" applyNumberFormat="1" applyFont="1" applyBorder="1" applyAlignment="1">
      <alignment horizontal="center"/>
    </xf>
    <xf numFmtId="165" fontId="3" fillId="33" borderId="13" xfId="0" applyNumberFormat="1" applyFont="1" applyFill="1" applyBorder="1" applyAlignment="1" applyProtection="1">
      <alignment horizontal="right"/>
      <protection locked="0"/>
    </xf>
    <xf numFmtId="5" fontId="3" fillId="33" borderId="13" xfId="0" applyNumberFormat="1" applyFont="1" applyFill="1" applyBorder="1" applyAlignment="1" applyProtection="1">
      <alignment horizontal="right"/>
      <protection locked="0"/>
    </xf>
    <xf numFmtId="166" fontId="3" fillId="33" borderId="13" xfId="0" applyNumberFormat="1" applyFont="1" applyFill="1" applyBorder="1" applyAlignment="1" applyProtection="1">
      <alignment/>
      <protection locked="0"/>
    </xf>
    <xf numFmtId="165" fontId="3" fillId="33" borderId="13" xfId="0" applyNumberFormat="1" applyFont="1" applyFill="1" applyBorder="1" applyAlignment="1" applyProtection="1">
      <alignment/>
      <protection locked="0"/>
    </xf>
    <xf numFmtId="7" fontId="3" fillId="0" borderId="0" xfId="0" applyNumberFormat="1" applyFont="1" applyAlignment="1" quotePrefix="1">
      <alignment/>
    </xf>
    <xf numFmtId="10" fontId="48" fillId="0" borderId="0" xfId="0" applyNumberFormat="1" applyFont="1" applyAlignment="1">
      <alignment/>
    </xf>
    <xf numFmtId="0" fontId="9" fillId="0" borderId="0" xfId="0" applyNumberFormat="1" applyFont="1" applyAlignment="1">
      <alignment/>
    </xf>
    <xf numFmtId="0" fontId="2" fillId="0" borderId="11" xfId="0" applyNumberFormat="1" applyFont="1" applyBorder="1" applyAlignment="1" quotePrefix="1">
      <alignment horizontal="center"/>
    </xf>
    <xf numFmtId="165" fontId="0" fillId="0" borderId="0" xfId="0" applyNumberFormat="1" applyAlignment="1">
      <alignment/>
    </xf>
    <xf numFmtId="0" fontId="3" fillId="0" borderId="0" xfId="0" applyNumberFormat="1" applyFont="1" applyAlignment="1" quotePrefix="1">
      <alignment/>
    </xf>
    <xf numFmtId="0" fontId="48" fillId="0" borderId="0" xfId="0" applyNumberFormat="1" applyFont="1" applyAlignment="1">
      <alignment/>
    </xf>
    <xf numFmtId="0" fontId="2" fillId="0" borderId="12" xfId="0" applyNumberFormat="1" applyFont="1" applyBorder="1" applyAlignment="1" quotePrefix="1">
      <alignment horizontal="right"/>
    </xf>
    <xf numFmtId="0" fontId="2" fillId="0" borderId="0" xfId="0" applyNumberFormat="1" applyFont="1" applyAlignment="1">
      <alignment horizontal="right"/>
    </xf>
    <xf numFmtId="43" fontId="3" fillId="0" borderId="0" xfId="42" applyFont="1" applyAlignment="1" quotePrefix="1">
      <alignment/>
    </xf>
    <xf numFmtId="43" fontId="3" fillId="0" borderId="0" xfId="0" applyNumberFormat="1" applyFont="1" applyAlignment="1" quotePrefix="1">
      <alignment/>
    </xf>
    <xf numFmtId="2" fontId="0" fillId="0" borderId="0" xfId="0" applyNumberFormat="1" applyAlignment="1">
      <alignment/>
    </xf>
    <xf numFmtId="5" fontId="0" fillId="0" borderId="0" xfId="0" applyNumberFormat="1" applyAlignment="1">
      <alignment/>
    </xf>
    <xf numFmtId="1" fontId="0" fillId="0" borderId="0" xfId="0" applyNumberFormat="1" applyAlignment="1">
      <alignment/>
    </xf>
    <xf numFmtId="2" fontId="11" fillId="0" borderId="0" xfId="0" applyNumberFormat="1" applyFont="1" applyAlignment="1">
      <alignment/>
    </xf>
    <xf numFmtId="5" fontId="11" fillId="0" borderId="0" xfId="0" applyNumberFormat="1" applyFont="1" applyAlignment="1">
      <alignment/>
    </xf>
    <xf numFmtId="1" fontId="11" fillId="0" borderId="0" xfId="0" applyNumberFormat="1" applyFont="1" applyAlignment="1">
      <alignment/>
    </xf>
    <xf numFmtId="0" fontId="0" fillId="0" borderId="0" xfId="0" applyFont="1" applyAlignment="1">
      <alignment horizontal="right"/>
    </xf>
    <xf numFmtId="175" fontId="0" fillId="0" borderId="0" xfId="0" applyNumberFormat="1" applyAlignment="1">
      <alignment/>
    </xf>
    <xf numFmtId="0" fontId="3" fillId="0" borderId="0" xfId="0" applyFont="1" applyAlignment="1">
      <alignment/>
    </xf>
    <xf numFmtId="175" fontId="3" fillId="0" borderId="10" xfId="0" applyNumberFormat="1" applyFont="1" applyBorder="1" applyAlignment="1">
      <alignment horizontal="center"/>
    </xf>
    <xf numFmtId="0" fontId="12" fillId="0" borderId="0" xfId="0" applyFont="1" applyAlignment="1">
      <alignment/>
    </xf>
    <xf numFmtId="0" fontId="3" fillId="0" borderId="18" xfId="0" applyNumberFormat="1" applyFont="1" applyBorder="1" applyAlignment="1">
      <alignment/>
    </xf>
    <xf numFmtId="0" fontId="3" fillId="0" borderId="0" xfId="0" applyNumberFormat="1" applyFont="1" applyBorder="1" applyAlignment="1">
      <alignment/>
    </xf>
    <xf numFmtId="0" fontId="12" fillId="0" borderId="18" xfId="0" applyNumberFormat="1" applyFont="1" applyBorder="1" applyAlignment="1">
      <alignment/>
    </xf>
    <xf numFmtId="175" fontId="3" fillId="0" borderId="19" xfId="0" applyNumberFormat="1" applyFont="1" applyBorder="1" applyAlignment="1">
      <alignment horizontal="center"/>
    </xf>
    <xf numFmtId="0" fontId="12" fillId="0" borderId="14" xfId="0" applyFont="1" applyBorder="1" applyAlignment="1">
      <alignment horizontal="center"/>
    </xf>
    <xf numFmtId="0" fontId="12" fillId="0" borderId="20" xfId="0" applyFont="1" applyBorder="1" applyAlignment="1">
      <alignment horizontal="center"/>
    </xf>
    <xf numFmtId="175" fontId="12" fillId="0" borderId="20" xfId="0" applyNumberFormat="1" applyFont="1" applyBorder="1" applyAlignment="1">
      <alignment horizontal="center"/>
    </xf>
    <xf numFmtId="175" fontId="12" fillId="0" borderId="15" xfId="0" applyNumberFormat="1" applyFont="1" applyBorder="1" applyAlignment="1">
      <alignment horizontal="center"/>
    </xf>
    <xf numFmtId="5" fontId="12" fillId="0" borderId="21" xfId="0" applyNumberFormat="1" applyFont="1" applyBorder="1" applyAlignment="1">
      <alignment horizontal="center"/>
    </xf>
    <xf numFmtId="5" fontId="12" fillId="0" borderId="22" xfId="0" applyNumberFormat="1" applyFont="1" applyBorder="1" applyAlignment="1">
      <alignment horizontal="center"/>
    </xf>
    <xf numFmtId="5" fontId="12" fillId="0" borderId="23" xfId="0" applyNumberFormat="1" applyFont="1" applyBorder="1" applyAlignment="1">
      <alignment horizontal="center"/>
    </xf>
    <xf numFmtId="165" fontId="3" fillId="33" borderId="10" xfId="57" applyNumberFormat="1" applyFont="1" applyFill="1" applyBorder="1" applyAlignment="1" applyProtection="1">
      <alignment/>
      <protection locked="0"/>
    </xf>
    <xf numFmtId="0" fontId="0" fillId="0" borderId="24" xfId="0" applyFont="1" applyFill="1" applyBorder="1" applyAlignment="1">
      <alignment horizontal="center" wrapText="1"/>
    </xf>
    <xf numFmtId="0" fontId="0" fillId="0" borderId="18" xfId="0" applyFill="1" applyBorder="1" applyAlignment="1">
      <alignment horizontal="center"/>
    </xf>
    <xf numFmtId="0" fontId="0" fillId="0" borderId="25"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0" xfId="0" applyFont="1" applyAlignment="1">
      <alignment horizontal="center"/>
    </xf>
    <xf numFmtId="0" fontId="12" fillId="0" borderId="24" xfId="0" applyFont="1" applyBorder="1" applyAlignment="1">
      <alignment horizontal="center"/>
    </xf>
    <xf numFmtId="0" fontId="12" fillId="0" borderId="18" xfId="0" applyFont="1" applyBorder="1" applyAlignment="1">
      <alignment horizontal="center"/>
    </xf>
    <xf numFmtId="0" fontId="12" fillId="0" borderId="2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2.emf"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2</xdr:row>
      <xdr:rowOff>819150</xdr:rowOff>
    </xdr:from>
    <xdr:to>
      <xdr:col>8</xdr:col>
      <xdr:colOff>247650</xdr:colOff>
      <xdr:row>2</xdr:row>
      <xdr:rowOff>819150</xdr:rowOff>
    </xdr:to>
    <xdr:pic>
      <xdr:nvPicPr>
        <xdr:cNvPr id="1" name="Picture 5" descr="Extensionlogo5.jpg"/>
        <xdr:cNvPicPr preferRelativeResize="1">
          <a:picLocks noChangeAspect="1"/>
        </xdr:cNvPicPr>
      </xdr:nvPicPr>
      <xdr:blipFill>
        <a:blip r:embed="rId1"/>
        <a:stretch>
          <a:fillRect/>
        </a:stretch>
      </xdr:blipFill>
      <xdr:spPr>
        <a:xfrm>
          <a:off x="7934325" y="1457325"/>
          <a:ext cx="876300" cy="0"/>
        </a:xfrm>
        <a:prstGeom prst="rect">
          <a:avLst/>
        </a:prstGeom>
        <a:noFill/>
        <a:ln w="9525" cmpd="sng">
          <a:noFill/>
        </a:ln>
      </xdr:spPr>
    </xdr:pic>
    <xdr:clientData/>
  </xdr:twoCellAnchor>
  <xdr:twoCellAnchor editAs="oneCell">
    <xdr:from>
      <xdr:col>0</xdr:col>
      <xdr:colOff>47625</xdr:colOff>
      <xdr:row>2</xdr:row>
      <xdr:rowOff>809625</xdr:rowOff>
    </xdr:from>
    <xdr:to>
      <xdr:col>0</xdr:col>
      <xdr:colOff>1676400</xdr:colOff>
      <xdr:row>2</xdr:row>
      <xdr:rowOff>809625</xdr:rowOff>
    </xdr:to>
    <xdr:pic>
      <xdr:nvPicPr>
        <xdr:cNvPr id="2" name="Picture 6" descr="Research+logo7.jpg"/>
        <xdr:cNvPicPr preferRelativeResize="1">
          <a:picLocks noChangeAspect="1"/>
        </xdr:cNvPicPr>
      </xdr:nvPicPr>
      <xdr:blipFill>
        <a:blip r:embed="rId2"/>
        <a:stretch>
          <a:fillRect/>
        </a:stretch>
      </xdr:blipFill>
      <xdr:spPr>
        <a:xfrm>
          <a:off x="47625" y="1447800"/>
          <a:ext cx="1628775" cy="0"/>
        </a:xfrm>
        <a:prstGeom prst="rect">
          <a:avLst/>
        </a:prstGeom>
        <a:noFill/>
        <a:ln w="9525" cmpd="sng">
          <a:noFill/>
        </a:ln>
      </xdr:spPr>
    </xdr:pic>
    <xdr:clientData/>
  </xdr:twoCellAnchor>
  <xdr:twoCellAnchor editAs="oneCell">
    <xdr:from>
      <xdr:col>6</xdr:col>
      <xdr:colOff>914400</xdr:colOff>
      <xdr:row>1</xdr:row>
      <xdr:rowOff>152400</xdr:rowOff>
    </xdr:from>
    <xdr:to>
      <xdr:col>7</xdr:col>
      <xdr:colOff>828675</xdr:colOff>
      <xdr:row>2</xdr:row>
      <xdr:rowOff>666750</xdr:rowOff>
    </xdr:to>
    <xdr:pic>
      <xdr:nvPicPr>
        <xdr:cNvPr id="3" name="Picture 8" descr="Extensionlogo5.jpg"/>
        <xdr:cNvPicPr preferRelativeResize="1">
          <a:picLocks noChangeAspect="1"/>
        </xdr:cNvPicPr>
      </xdr:nvPicPr>
      <xdr:blipFill>
        <a:blip r:embed="rId3"/>
        <a:stretch>
          <a:fillRect/>
        </a:stretch>
      </xdr:blipFill>
      <xdr:spPr>
        <a:xfrm>
          <a:off x="7648575" y="361950"/>
          <a:ext cx="828675" cy="942975"/>
        </a:xfrm>
        <a:prstGeom prst="rect">
          <a:avLst/>
        </a:prstGeom>
        <a:noFill/>
        <a:ln w="9525" cmpd="sng">
          <a:noFill/>
        </a:ln>
      </xdr:spPr>
    </xdr:pic>
    <xdr:clientData/>
  </xdr:twoCellAnchor>
  <xdr:twoCellAnchor editAs="oneCell">
    <xdr:from>
      <xdr:col>0</xdr:col>
      <xdr:colOff>123825</xdr:colOff>
      <xdr:row>1</xdr:row>
      <xdr:rowOff>238125</xdr:rowOff>
    </xdr:from>
    <xdr:to>
      <xdr:col>1</xdr:col>
      <xdr:colOff>685800</xdr:colOff>
      <xdr:row>2</xdr:row>
      <xdr:rowOff>476250</xdr:rowOff>
    </xdr:to>
    <xdr:pic>
      <xdr:nvPicPr>
        <xdr:cNvPr id="4" name="Picture 4" descr="AgriLife EXTENSION logo (2-color).jpg"/>
        <xdr:cNvPicPr preferRelativeResize="1">
          <a:picLocks noChangeAspect="1"/>
        </xdr:cNvPicPr>
      </xdr:nvPicPr>
      <xdr:blipFill>
        <a:blip r:embed="rId4"/>
        <a:stretch>
          <a:fillRect/>
        </a:stretch>
      </xdr:blipFill>
      <xdr:spPr>
        <a:xfrm>
          <a:off x="123825" y="447675"/>
          <a:ext cx="2724150" cy="666750"/>
        </a:xfrm>
        <a:prstGeom prst="rect">
          <a:avLst/>
        </a:prstGeom>
        <a:noFill/>
        <a:ln w="9525" cmpd="sng">
          <a:noFill/>
        </a:ln>
      </xdr:spPr>
    </xdr:pic>
    <xdr:clientData/>
  </xdr:twoCellAnchor>
  <xdr:twoCellAnchor>
    <xdr:from>
      <xdr:col>0</xdr:col>
      <xdr:colOff>1200150</xdr:colOff>
      <xdr:row>147</xdr:row>
      <xdr:rowOff>28575</xdr:rowOff>
    </xdr:from>
    <xdr:to>
      <xdr:col>7</xdr:col>
      <xdr:colOff>514350</xdr:colOff>
      <xdr:row>151</xdr:row>
      <xdr:rowOff>114300</xdr:rowOff>
    </xdr:to>
    <xdr:sp>
      <xdr:nvSpPr>
        <xdr:cNvPr id="5" name="TextBox 6"/>
        <xdr:cNvSpPr txBox="1">
          <a:spLocks noChangeArrowheads="1"/>
        </xdr:cNvSpPr>
      </xdr:nvSpPr>
      <xdr:spPr>
        <a:xfrm>
          <a:off x="1200150" y="15116175"/>
          <a:ext cx="69627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Disclaimer: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is provided by the Oklahoma Cooperative Extension Service for educational use and is provided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solely on an “AS IS” basis.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Oklahoma Cooperative Extension Service assumes no liability for the use of these programs.</a:t>
          </a:r>
        </a:p>
      </xdr:txBody>
    </xdr:sp>
    <xdr:clientData/>
  </xdr:twoCellAnchor>
  <xdr:twoCellAnchor editAs="oneCell">
    <xdr:from>
      <xdr:col>12</xdr:col>
      <xdr:colOff>152400</xdr:colOff>
      <xdr:row>4</xdr:row>
      <xdr:rowOff>47625</xdr:rowOff>
    </xdr:from>
    <xdr:to>
      <xdr:col>15</xdr:col>
      <xdr:colOff>352425</xdr:colOff>
      <xdr:row>6</xdr:row>
      <xdr:rowOff>104775</xdr:rowOff>
    </xdr:to>
    <xdr:pic>
      <xdr:nvPicPr>
        <xdr:cNvPr id="6" name="cmdSens"/>
        <xdr:cNvPicPr preferRelativeResize="1">
          <a:picLocks noChangeAspect="1"/>
        </xdr:cNvPicPr>
      </xdr:nvPicPr>
      <xdr:blipFill>
        <a:blip r:embed="rId5"/>
        <a:stretch>
          <a:fillRect/>
        </a:stretch>
      </xdr:blipFill>
      <xdr:spPr>
        <a:xfrm>
          <a:off x="11410950" y="2190750"/>
          <a:ext cx="2028825" cy="438150"/>
        </a:xfrm>
        <a:prstGeom prst="rect">
          <a:avLst/>
        </a:prstGeom>
        <a:noFill/>
        <a:ln w="9525" cmpd="sng">
          <a:noFill/>
        </a:ln>
      </xdr:spPr>
    </xdr:pic>
    <xdr:clientData fPrintsWithSheet="0"/>
  </xdr:twoCellAnchor>
  <xdr:twoCellAnchor editAs="oneCell">
    <xdr:from>
      <xdr:col>12</xdr:col>
      <xdr:colOff>152400</xdr:colOff>
      <xdr:row>59</xdr:row>
      <xdr:rowOff>47625</xdr:rowOff>
    </xdr:from>
    <xdr:to>
      <xdr:col>15</xdr:col>
      <xdr:colOff>352425</xdr:colOff>
      <xdr:row>61</xdr:row>
      <xdr:rowOff>104775</xdr:rowOff>
    </xdr:to>
    <xdr:pic>
      <xdr:nvPicPr>
        <xdr:cNvPr id="7" name="cmdReturn"/>
        <xdr:cNvPicPr preferRelativeResize="1">
          <a:picLocks noChangeAspect="1"/>
        </xdr:cNvPicPr>
      </xdr:nvPicPr>
      <xdr:blipFill>
        <a:blip r:embed="rId6"/>
        <a:stretch>
          <a:fillRect/>
        </a:stretch>
      </xdr:blipFill>
      <xdr:spPr>
        <a:xfrm>
          <a:off x="11410950" y="11820525"/>
          <a:ext cx="2028825" cy="4381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R147"/>
  <sheetViews>
    <sheetView showGridLines="0" tabSelected="1" zoomScalePageLayoutView="0" workbookViewId="0" topLeftCell="A1">
      <selection activeCell="A1" sqref="A1"/>
    </sheetView>
  </sheetViews>
  <sheetFormatPr defaultColWidth="9.140625" defaultRowHeight="12.75"/>
  <cols>
    <col min="1" max="1" width="32.421875" style="0" customWidth="1"/>
    <col min="2" max="8" width="13.7109375" style="0" customWidth="1"/>
    <col min="9" max="9" width="13.00390625" style="0" customWidth="1"/>
    <col min="11" max="13" width="9.140625" style="0" customWidth="1"/>
  </cols>
  <sheetData>
    <row r="1" ht="16.5" customHeight="1"/>
    <row r="2" spans="1:9" ht="33.75" customHeight="1">
      <c r="A2" s="70" t="s">
        <v>52</v>
      </c>
      <c r="B2" s="71"/>
      <c r="C2" s="71"/>
      <c r="D2" s="71"/>
      <c r="E2" s="71"/>
      <c r="F2" s="71"/>
      <c r="G2" s="71"/>
      <c r="H2" s="71"/>
      <c r="I2" s="72"/>
    </row>
    <row r="3" spans="1:9" ht="105.75" customHeight="1">
      <c r="A3" s="73"/>
      <c r="B3" s="74"/>
      <c r="C3" s="74"/>
      <c r="D3" s="74"/>
      <c r="E3" s="74"/>
      <c r="F3" s="74"/>
      <c r="G3" s="74"/>
      <c r="H3" s="74"/>
      <c r="I3" s="75"/>
    </row>
    <row r="5" spans="1:16" ht="15">
      <c r="A5" s="17" t="s">
        <v>35</v>
      </c>
      <c r="B5" s="15">
        <v>525</v>
      </c>
      <c r="C5" s="3"/>
      <c r="D5" s="17"/>
      <c r="F5" s="44" t="s">
        <v>32</v>
      </c>
      <c r="G5" s="15">
        <v>1150</v>
      </c>
      <c r="H5" s="3" t="s">
        <v>1</v>
      </c>
      <c r="I5" s="3"/>
      <c r="J5" s="3"/>
      <c r="K5" s="4"/>
      <c r="L5" s="4"/>
      <c r="M5" s="4"/>
      <c r="N5" s="4"/>
      <c r="O5" s="4"/>
      <c r="P5" s="4"/>
    </row>
    <row r="6" spans="1:14" ht="15">
      <c r="A6" s="17" t="s">
        <v>36</v>
      </c>
      <c r="B6" s="15">
        <v>475</v>
      </c>
      <c r="C6" s="17"/>
      <c r="F6" s="44" t="s">
        <v>33</v>
      </c>
      <c r="G6" s="28">
        <v>8</v>
      </c>
      <c r="H6" s="3"/>
      <c r="I6" s="19" t="s">
        <v>3</v>
      </c>
      <c r="J6" s="3"/>
      <c r="K6" s="4"/>
      <c r="N6" s="4"/>
    </row>
    <row r="7" spans="1:11" ht="15">
      <c r="A7" s="17" t="s">
        <v>4</v>
      </c>
      <c r="B7" s="16">
        <v>925</v>
      </c>
      <c r="C7" s="3"/>
      <c r="D7" s="17"/>
      <c r="F7" s="44" t="s">
        <v>34</v>
      </c>
      <c r="G7" s="30">
        <v>3</v>
      </c>
      <c r="H7" s="3" t="s">
        <v>2</v>
      </c>
      <c r="I7" s="20" t="s">
        <v>37</v>
      </c>
      <c r="J7" s="3"/>
      <c r="K7" s="4"/>
    </row>
    <row r="8" spans="2:18" ht="15">
      <c r="B8" s="26"/>
      <c r="C8" s="3"/>
      <c r="D8" s="17"/>
      <c r="F8" s="3"/>
      <c r="H8" s="3"/>
      <c r="I8" s="5">
        <f>SUM(A90:I90)</f>
        <v>-263.14286205518135</v>
      </c>
      <c r="J8" s="3"/>
      <c r="K8" s="4"/>
      <c r="N8" s="76"/>
      <c r="O8" s="76"/>
      <c r="P8" s="76"/>
      <c r="Q8" s="76"/>
      <c r="R8" s="76"/>
    </row>
    <row r="9" spans="9:11" ht="15">
      <c r="I9" s="3"/>
      <c r="J9" s="3"/>
      <c r="K9" s="4"/>
    </row>
    <row r="10" spans="1:18" ht="15">
      <c r="A10" s="3" t="s">
        <v>0</v>
      </c>
      <c r="B10" s="28">
        <v>2019</v>
      </c>
      <c r="C10" s="18">
        <f>IF(G6&gt;=2,(B10+1),"")</f>
        <v>2020</v>
      </c>
      <c r="D10" s="18">
        <f>IF(G6&gt;=3,C10+1,"")</f>
        <v>2021</v>
      </c>
      <c r="E10" s="18">
        <f>IF(G6&gt;=4,D10+1,"")</f>
        <v>2022</v>
      </c>
      <c r="F10" s="18">
        <f>IF(G6&gt;=5,E10+1,"")</f>
        <v>2023</v>
      </c>
      <c r="G10" s="18">
        <f>IF(G6&gt;=6,F10+1,"")</f>
        <v>2024</v>
      </c>
      <c r="H10" s="39">
        <f>IF(G6&gt;=7,G10+1,"")</f>
        <v>2025</v>
      </c>
      <c r="I10" s="39">
        <f>IF(G6&gt;=8,H10+1,"")</f>
        <v>2026</v>
      </c>
      <c r="J10" s="3"/>
      <c r="K10" s="4"/>
      <c r="M10" s="54"/>
      <c r="N10" s="54"/>
      <c r="O10" s="54"/>
      <c r="P10" s="54"/>
      <c r="Q10" s="54"/>
      <c r="R10" s="54"/>
    </row>
    <row r="11" spans="1:13" ht="15.75">
      <c r="A11" s="6"/>
      <c r="B11" s="31" t="str">
        <f>IF(G6&gt;=1,"Year 1","")</f>
        <v>Year 1</v>
      </c>
      <c r="C11" s="18" t="str">
        <f>IF(G6&gt;=2,"Year 2","")</f>
        <v>Year 2</v>
      </c>
      <c r="D11" s="18" t="str">
        <f>IF(G6&gt;=3,"Year 3","")</f>
        <v>Year 3</v>
      </c>
      <c r="E11" s="18" t="str">
        <f>IF(G6&gt;=4,"Year 4","")</f>
        <v>Year 4</v>
      </c>
      <c r="F11" s="18" t="str">
        <f>IF(G6&gt;=5,"Year 5","")</f>
        <v>Year 5</v>
      </c>
      <c r="G11" s="18" t="str">
        <f>IF(G6&gt;=6,"Year 6","")</f>
        <v>Year 6</v>
      </c>
      <c r="H11" s="18" t="str">
        <f>IF(G6&gt;=7,"Year 7","")</f>
        <v>Year 7</v>
      </c>
      <c r="I11" s="18" t="str">
        <f>IF(G6&gt;=8,"Year 8","")</f>
        <v>Year 8</v>
      </c>
      <c r="J11" s="3"/>
      <c r="K11" s="4"/>
      <c r="M11" s="54"/>
    </row>
    <row r="12" spans="1:13" ht="15">
      <c r="A12" s="17" t="s">
        <v>5</v>
      </c>
      <c r="B12" s="32">
        <v>0</v>
      </c>
      <c r="C12" s="32">
        <v>90</v>
      </c>
      <c r="D12" s="32">
        <v>90</v>
      </c>
      <c r="E12" s="32">
        <v>90</v>
      </c>
      <c r="F12" s="32">
        <v>90</v>
      </c>
      <c r="G12" s="32">
        <v>90</v>
      </c>
      <c r="H12" s="32">
        <v>90</v>
      </c>
      <c r="I12" s="32">
        <v>90</v>
      </c>
      <c r="J12" s="3"/>
      <c r="K12" s="4"/>
      <c r="L12" s="4"/>
      <c r="M12" s="54"/>
    </row>
    <row r="13" spans="1:13" ht="15">
      <c r="A13" s="17" t="s">
        <v>6</v>
      </c>
      <c r="B13" s="33">
        <v>170</v>
      </c>
      <c r="C13" s="33">
        <v>170</v>
      </c>
      <c r="D13" s="33">
        <v>175</v>
      </c>
      <c r="E13" s="33">
        <v>175</v>
      </c>
      <c r="F13" s="33">
        <v>180</v>
      </c>
      <c r="G13" s="33">
        <v>180</v>
      </c>
      <c r="H13" s="33">
        <v>185</v>
      </c>
      <c r="I13" s="33">
        <v>185</v>
      </c>
      <c r="J13" s="3"/>
      <c r="K13" s="4"/>
      <c r="L13" s="4"/>
      <c r="M13" s="54"/>
    </row>
    <row r="14" spans="1:13" ht="15">
      <c r="A14" s="17" t="s">
        <v>7</v>
      </c>
      <c r="B14" s="16">
        <v>150</v>
      </c>
      <c r="C14" s="16">
        <v>150</v>
      </c>
      <c r="D14" s="16">
        <v>155</v>
      </c>
      <c r="E14" s="16">
        <v>155</v>
      </c>
      <c r="F14" s="16">
        <v>160</v>
      </c>
      <c r="G14" s="16">
        <v>160</v>
      </c>
      <c r="H14" s="16">
        <v>165</v>
      </c>
      <c r="I14" s="16">
        <v>165</v>
      </c>
      <c r="J14" s="3"/>
      <c r="K14" s="4"/>
      <c r="L14" s="4"/>
      <c r="M14" s="54"/>
    </row>
    <row r="15" spans="1:13" ht="15">
      <c r="A15" s="17" t="s">
        <v>8</v>
      </c>
      <c r="B15" s="16">
        <v>0</v>
      </c>
      <c r="C15" s="16">
        <v>0</v>
      </c>
      <c r="D15" s="16">
        <v>0</v>
      </c>
      <c r="E15" s="16">
        <v>0</v>
      </c>
      <c r="F15" s="16">
        <v>0</v>
      </c>
      <c r="G15" s="16">
        <v>0</v>
      </c>
      <c r="H15" s="16">
        <v>0</v>
      </c>
      <c r="I15" s="16">
        <v>75</v>
      </c>
      <c r="J15" s="3"/>
      <c r="K15" s="4"/>
      <c r="M15" s="54"/>
    </row>
    <row r="16" spans="1:16" ht="15" hidden="1">
      <c r="A16" s="40">
        <f>B10+G6-1</f>
        <v>2026</v>
      </c>
      <c r="B16" s="3" t="b">
        <f>AND($G$6=1,B15&lt;10)</f>
        <v>0</v>
      </c>
      <c r="C16" s="3" t="b">
        <f>AND($G$6=2,C15&lt;10)</f>
        <v>0</v>
      </c>
      <c r="D16" s="3" t="b">
        <f>AND($G$6=3,D15&lt;10)</f>
        <v>0</v>
      </c>
      <c r="E16" s="3" t="b">
        <f>AND($G$6=4,E15&lt;10)</f>
        <v>0</v>
      </c>
      <c r="F16" s="3" t="b">
        <f>AND($G$6=5,F15&lt;10)</f>
        <v>0</v>
      </c>
      <c r="G16" s="3" t="b">
        <f>AND($G$6=6,G15&lt;10)</f>
        <v>0</v>
      </c>
      <c r="H16" s="3" t="b">
        <f>AND($G$6=7,H15&lt;10)</f>
        <v>0</v>
      </c>
      <c r="I16" s="3" t="b">
        <f>AND($G$6=8,I15&lt;10)</f>
        <v>0</v>
      </c>
      <c r="J16" s="3"/>
      <c r="K16" s="4"/>
      <c r="L16" s="4"/>
      <c r="M16" s="4"/>
      <c r="N16" s="4"/>
      <c r="O16" s="4"/>
      <c r="P16" s="4"/>
    </row>
    <row r="17" spans="1:11" ht="15">
      <c r="A17" s="3"/>
      <c r="D17" s="42">
        <f>IF(G5=0,"",IF(OR(B16,C16,D16,E16,F16,G16,H16,I16),"Caution …Cull Cow Price Needs to be Entered for "&amp;TEXT(A16,0),""))</f>
      </c>
      <c r="E17" s="3"/>
      <c r="F17" s="3"/>
      <c r="G17" s="3"/>
      <c r="H17" s="3"/>
      <c r="I17" s="3"/>
      <c r="J17" s="3"/>
      <c r="K17" s="4"/>
    </row>
    <row r="18" spans="1:11" ht="15">
      <c r="A18" s="17" t="s">
        <v>9</v>
      </c>
      <c r="B18" s="1">
        <f>IF(AND($G$6&gt;=1,B$12&gt;0),ROUND(((($B$5*B13)+($B$6*B14))/100)/2*B$12*0.01,0),0)</f>
        <v>0</v>
      </c>
      <c r="C18" s="1">
        <f>IF(AND($G$6&gt;=2,C$12&gt;0),ROUND(((($B$5*C13)+($B$6*C14))/100)/2*C$12*0.01,0),0)</f>
        <v>722</v>
      </c>
      <c r="D18" s="1">
        <f>IF(AND($G$6&gt;=3,D$12&gt;0),ROUND(((($B$5*D13)+($B$6*D14))/100)/2*D$12*0.01,0),0)</f>
        <v>745</v>
      </c>
      <c r="E18" s="1">
        <f>IF(AND($G$6&gt;=4,E$12&gt;0),ROUND(((($B$5*E13)+($B$6*E14))/100)/2*E$12*0.01,0),0)</f>
        <v>745</v>
      </c>
      <c r="F18" s="1">
        <f>IF(AND($G$6&gt;=5,F$12&gt;0),ROUND(((($B$5*F13)+($B$6*F14))/100)/2*F$12*0.01,0),0)</f>
        <v>767</v>
      </c>
      <c r="G18" s="1">
        <f>IF(AND($G$6&gt;=6,G$12&gt;0),ROUND(((($B$5*G13)+($B$6*G14))/100)/2*G$12*0.01,0),0)</f>
        <v>767</v>
      </c>
      <c r="H18" s="1">
        <f>IF(AND($G$6&gt;=7,H$12&gt;0),ROUND(((($B$5*H13)+($B$6*H14))/100)/2*H$12*0.01,0),0)</f>
        <v>790</v>
      </c>
      <c r="I18" s="1">
        <f>IF(AND($G$6&gt;=8,I$12&gt;0),ROUND(((($B$5*I13)+($B$6*I14))/100)/2*I$12*0.01,0),0)</f>
        <v>790</v>
      </c>
      <c r="J18" s="3"/>
      <c r="K18" s="4"/>
    </row>
    <row r="19" spans="1:11" ht="15">
      <c r="A19" s="3"/>
      <c r="B19" s="3"/>
      <c r="C19" s="3"/>
      <c r="D19" s="3"/>
      <c r="E19" s="3"/>
      <c r="F19" s="3"/>
      <c r="G19" s="3"/>
      <c r="H19" s="3"/>
      <c r="I19" s="3"/>
      <c r="J19" s="3"/>
      <c r="K19" s="4"/>
    </row>
    <row r="20" spans="1:11" ht="15">
      <c r="A20" s="17" t="s">
        <v>10</v>
      </c>
      <c r="B20" s="16">
        <v>650</v>
      </c>
      <c r="C20" s="16">
        <v>650</v>
      </c>
      <c r="D20" s="16">
        <v>650</v>
      </c>
      <c r="E20" s="16">
        <v>650</v>
      </c>
      <c r="F20" s="16">
        <v>650</v>
      </c>
      <c r="G20" s="16">
        <v>650</v>
      </c>
      <c r="H20" s="16">
        <v>650</v>
      </c>
      <c r="I20" s="16">
        <v>650</v>
      </c>
      <c r="J20" s="3"/>
      <c r="K20" s="4"/>
    </row>
    <row r="21" spans="1:11" ht="15">
      <c r="A21" s="3"/>
      <c r="B21" s="3"/>
      <c r="C21" s="3"/>
      <c r="D21" s="3"/>
      <c r="E21" s="3"/>
      <c r="F21" s="3"/>
      <c r="G21" s="3"/>
      <c r="H21" s="3"/>
      <c r="I21" s="3"/>
      <c r="J21" s="3"/>
      <c r="K21" s="4"/>
    </row>
    <row r="22" spans="1:11" ht="15">
      <c r="A22" s="17" t="s">
        <v>11</v>
      </c>
      <c r="B22" s="1">
        <f>IF(G6&gt;=1,+B18-B20,0)</f>
        <v>-650</v>
      </c>
      <c r="C22" s="1">
        <f>IF(G6&gt;=2,+C18-C20,0)</f>
        <v>72</v>
      </c>
      <c r="D22" s="1">
        <f>IF(G6&gt;=3,+D18-D20,0)</f>
        <v>95</v>
      </c>
      <c r="E22" s="1">
        <f>IF(G6&gt;=4,+E18-E20,0)</f>
        <v>95</v>
      </c>
      <c r="F22" s="1">
        <f>IF(G6&gt;=5,+F18-F20,0)</f>
        <v>117</v>
      </c>
      <c r="G22" s="1">
        <f>IF(G6&gt;=6,+G18-G20,0)</f>
        <v>117</v>
      </c>
      <c r="H22" s="1">
        <f>IF(G6&gt;=7,+H18-H20,0)</f>
        <v>140</v>
      </c>
      <c r="I22" s="1">
        <f>IF(G6&gt;=8,+I18-I20,0)</f>
        <v>140</v>
      </c>
      <c r="J22" s="3"/>
      <c r="K22" s="4"/>
    </row>
    <row r="23" spans="1:11" ht="15">
      <c r="A23" s="17"/>
      <c r="B23" s="1"/>
      <c r="C23" s="1"/>
      <c r="D23" s="1"/>
      <c r="E23" s="1"/>
      <c r="F23" s="1"/>
      <c r="G23" s="1"/>
      <c r="H23" s="1"/>
      <c r="I23" s="3"/>
      <c r="J23" s="3"/>
      <c r="K23" s="4"/>
    </row>
    <row r="24" spans="1:11" ht="15" hidden="1">
      <c r="A24" s="17" t="s">
        <v>26</v>
      </c>
      <c r="B24" s="36">
        <f>IF(G6=1,ROUND(+B15*$G$5/100,2),0)</f>
        <v>0</v>
      </c>
      <c r="C24" s="36">
        <f>IF(G6=2,ROUND(+C15*$G$5/100,2),0)</f>
        <v>0</v>
      </c>
      <c r="D24" s="36">
        <f>IF(G6=3,ROUND(+D15*$G$5/100,2),0)</f>
        <v>0</v>
      </c>
      <c r="E24" s="36">
        <f>IF(G6=4,ROUND(+E15*$G$5/100,2),0)</f>
        <v>0</v>
      </c>
      <c r="F24" s="36">
        <f>IF(G6=5,ROUND(+F15*$G$5/100,2),0)</f>
        <v>0</v>
      </c>
      <c r="G24" s="36">
        <f>IF(G6=6,ROUND(+G15*$G$5/100,2),0)</f>
        <v>0</v>
      </c>
      <c r="H24" s="36">
        <f>IF(G6=7,ROUND(+H15*$G$5/100,2),0)</f>
        <v>0</v>
      </c>
      <c r="I24" s="10">
        <f>SUM(B24:H24)</f>
        <v>0</v>
      </c>
      <c r="J24" s="3"/>
      <c r="K24" s="4"/>
    </row>
    <row r="25" spans="1:11" ht="15">
      <c r="A25" s="27" t="s">
        <v>30</v>
      </c>
      <c r="B25" s="7"/>
      <c r="C25" s="7"/>
      <c r="D25" s="7"/>
      <c r="E25" s="7"/>
      <c r="F25" s="7"/>
      <c r="G25" s="7"/>
      <c r="H25" s="7"/>
      <c r="I25" s="7"/>
      <c r="J25" s="3"/>
      <c r="K25" s="4"/>
    </row>
    <row r="26" spans="1:11" ht="15">
      <c r="A26" s="3"/>
      <c r="B26" s="3"/>
      <c r="C26" s="3"/>
      <c r="D26" s="3"/>
      <c r="E26" s="3"/>
      <c r="F26" s="3"/>
      <c r="G26" s="3"/>
      <c r="H26" s="3"/>
      <c r="I26" s="3"/>
      <c r="J26" s="3"/>
      <c r="K26" s="4"/>
    </row>
    <row r="27" spans="1:11" ht="15.75">
      <c r="A27" s="17" t="s">
        <v>12</v>
      </c>
      <c r="B27" s="34">
        <v>30</v>
      </c>
      <c r="C27" s="8" t="s">
        <v>13</v>
      </c>
      <c r="D27" s="9">
        <f>ROUND(B27*B7*0.01,2)</f>
        <v>277.5</v>
      </c>
      <c r="E27" s="3" t="s">
        <v>14</v>
      </c>
      <c r="F27" s="3"/>
      <c r="G27" s="3"/>
      <c r="H27" s="3"/>
      <c r="I27" s="3"/>
      <c r="J27" s="3"/>
      <c r="K27" s="4"/>
    </row>
    <row r="28" spans="1:16" ht="15">
      <c r="A28" s="3"/>
      <c r="B28" s="3"/>
      <c r="C28" s="3"/>
      <c r="D28" s="3"/>
      <c r="E28" s="3"/>
      <c r="F28" s="3"/>
      <c r="G28" s="3"/>
      <c r="H28" s="3"/>
      <c r="I28" s="3"/>
      <c r="J28" s="3"/>
      <c r="K28" s="4"/>
      <c r="L28" s="4"/>
      <c r="M28" s="4"/>
      <c r="N28" s="4"/>
      <c r="O28" s="4"/>
      <c r="P28" s="4"/>
    </row>
    <row r="29" spans="1:16" ht="15">
      <c r="A29" s="17" t="s">
        <v>15</v>
      </c>
      <c r="B29" s="35">
        <v>3</v>
      </c>
      <c r="C29" s="42">
        <f>IF(B29&gt;7," Error !! The maximum length of the note the model can analyze is seven years!!","")</f>
      </c>
      <c r="D29" s="3"/>
      <c r="E29" s="3"/>
      <c r="F29" s="3"/>
      <c r="G29" s="3"/>
      <c r="H29" s="3"/>
      <c r="I29" s="3"/>
      <c r="J29" s="3"/>
      <c r="K29" s="4"/>
      <c r="L29" s="4"/>
      <c r="M29" s="4"/>
      <c r="N29" s="4"/>
      <c r="O29" s="4"/>
      <c r="P29" s="4"/>
    </row>
    <row r="30" spans="1:16" ht="15">
      <c r="A30" s="3"/>
      <c r="B30" s="3"/>
      <c r="C30" s="3"/>
      <c r="D30" s="3"/>
      <c r="E30" s="3"/>
      <c r="F30" s="3"/>
      <c r="G30" s="3"/>
      <c r="H30" s="3"/>
      <c r="I30" s="3"/>
      <c r="J30" s="3"/>
      <c r="K30" s="4"/>
      <c r="L30" s="4"/>
      <c r="M30" s="4"/>
      <c r="N30" s="4"/>
      <c r="O30" s="4"/>
      <c r="P30" s="4"/>
    </row>
    <row r="31" spans="1:16" ht="15">
      <c r="A31" s="17" t="s">
        <v>16</v>
      </c>
      <c r="B31" s="29">
        <v>7</v>
      </c>
      <c r="C31" s="3"/>
      <c r="D31" s="3"/>
      <c r="E31" s="3"/>
      <c r="F31" s="3"/>
      <c r="G31" s="3"/>
      <c r="H31" s="3"/>
      <c r="I31" s="3"/>
      <c r="J31" s="3"/>
      <c r="K31" s="4"/>
      <c r="L31" s="4"/>
      <c r="M31" s="4"/>
      <c r="N31" s="4"/>
      <c r="O31" s="4"/>
      <c r="P31" s="4"/>
    </row>
    <row r="32" spans="1:16" ht="15">
      <c r="A32" s="3"/>
      <c r="B32" s="3"/>
      <c r="C32" s="3"/>
      <c r="D32" s="3"/>
      <c r="E32" s="3"/>
      <c r="F32" s="3"/>
      <c r="G32" s="3"/>
      <c r="H32" s="3"/>
      <c r="I32" s="18" t="s">
        <v>17</v>
      </c>
      <c r="J32" s="3"/>
      <c r="K32" s="4"/>
      <c r="L32" s="4"/>
      <c r="M32" s="4"/>
      <c r="N32" s="4"/>
      <c r="O32" s="4"/>
      <c r="P32" s="4"/>
    </row>
    <row r="33" spans="1:16" ht="15">
      <c r="A33" s="17" t="s">
        <v>18</v>
      </c>
      <c r="B33" s="10">
        <f>IF(G6&lt;1,0,IF(B29&gt;=1,ROUND(IPMT(B31*0.01,1,B29,-(((1-B27*0.01)*B7))),2),0))</f>
        <v>45.33</v>
      </c>
      <c r="C33" s="10">
        <f>IF(G6&lt;2,0,IF(B29&gt;=2,ROUND(IPMT(B31*0.01,2,B29,-(((1-B27*0.01)*B7))),2),0))</f>
        <v>31.23</v>
      </c>
      <c r="D33" s="10">
        <f>IF(G6&lt;3,0,IF(B29&gt;=3,ROUND(IPMT(B31*0.01,3,B29,-(((1-B27*0.01)*B7))),2),0))</f>
        <v>16.14</v>
      </c>
      <c r="E33" s="10">
        <f>IF(G6&lt;4,0,IF(B29&gt;=4,ROUND(IPMT(B31*0.01,4,B29,-(((1-B27*0.01)*B7))),2),0))</f>
        <v>0</v>
      </c>
      <c r="F33" s="10">
        <f>IF(G6&lt;5,0,IF(B29&gt;=5,ROUND(IPMT(B31*0.01,5,B29,-(((1-B27*0.01)*B7))),2),0))</f>
        <v>0</v>
      </c>
      <c r="G33" s="10">
        <f>IF(G6&lt;6,0,IF(B29&gt;=6,ROUND(IPMT(B31*0.01,6,B29,-(((1-B27*0.01)*B7))),2),0))</f>
        <v>0</v>
      </c>
      <c r="H33" s="10">
        <f>IF(G6&lt;0,0,IF(B29&gt;=7,ROUND(IPMT(B31*0.01,7,B29,-(((1-B27*0.01)*B7))),2),0))</f>
        <v>0</v>
      </c>
      <c r="I33" s="22">
        <f>SUM(B33:H33)</f>
        <v>92.7</v>
      </c>
      <c r="J33" s="3"/>
      <c r="K33" s="4"/>
      <c r="L33" s="4"/>
      <c r="M33" s="4"/>
      <c r="N33" s="4"/>
      <c r="O33" s="4"/>
      <c r="P33" s="4"/>
    </row>
    <row r="34" spans="1:16" ht="15.75" thickBot="1">
      <c r="A34" s="21" t="s">
        <v>19</v>
      </c>
      <c r="B34" s="11">
        <f>IF(G6=1,SUM(B87:H87),IF(G6&gt;1,+B87,0))</f>
        <v>201.41</v>
      </c>
      <c r="C34" s="11">
        <f>IF(G6=2,SUM(C87:H87),IF(G6&gt;2,+C87,0))</f>
        <v>215.5</v>
      </c>
      <c r="D34" s="11">
        <f>IF(G6=3,SUM(D87:H87),IF(G6&gt;3,+D87,0))</f>
        <v>230.59</v>
      </c>
      <c r="E34" s="11">
        <f>IF(G6=4,SUM(E87:H87),IF(G6&gt;4,+E87,0))</f>
        <v>0</v>
      </c>
      <c r="F34" s="11">
        <f>IF(G6=5,SUM(F87:H87),IF(G6&gt;5,+F87,0))</f>
        <v>0</v>
      </c>
      <c r="G34" s="11">
        <f>IF(G6=6,SUM(G87:H87),IF(G6&gt;6,+G87,0))</f>
        <v>0</v>
      </c>
      <c r="H34" s="11">
        <f>H87</f>
        <v>0</v>
      </c>
      <c r="I34" s="23">
        <f>SUM(B34:H34)</f>
        <v>647.5</v>
      </c>
      <c r="J34" s="3"/>
      <c r="K34" s="4"/>
      <c r="L34" s="4"/>
      <c r="M34" s="4"/>
      <c r="N34" s="4"/>
      <c r="O34" s="4"/>
      <c r="P34" s="4"/>
    </row>
    <row r="35" spans="1:16" ht="15.75" thickTop="1">
      <c r="A35" s="17" t="s">
        <v>20</v>
      </c>
      <c r="B35" s="10">
        <f>IF(G6&gt;=1,+B33+B34,0)</f>
        <v>246.74</v>
      </c>
      <c r="C35" s="10">
        <f>IF(G6&gt;=2,+C33+C34,0)</f>
        <v>246.73</v>
      </c>
      <c r="D35" s="10">
        <f>IF(G6&gt;=3,+D33+D34,0)</f>
        <v>246.73000000000002</v>
      </c>
      <c r="E35" s="10">
        <f>IF(G6&gt;=4,+E33+E34,0)</f>
        <v>0</v>
      </c>
      <c r="F35" s="10">
        <f>IF(G6&gt;=5,+F33+F34,0)</f>
        <v>0</v>
      </c>
      <c r="G35" s="10">
        <f>IF(G6&gt;=7,+G33+G34,0)</f>
        <v>0</v>
      </c>
      <c r="H35" s="10">
        <f>IF(G6&gt;=7,+H33+H34,0)</f>
        <v>0</v>
      </c>
      <c r="I35" s="3"/>
      <c r="J35" s="3"/>
      <c r="K35" s="4"/>
      <c r="L35" s="4"/>
      <c r="M35" s="4"/>
      <c r="N35" s="4"/>
      <c r="O35" s="4"/>
      <c r="P35" s="4"/>
    </row>
    <row r="36" spans="1:16" ht="15.75">
      <c r="A36" s="2"/>
      <c r="B36" s="3"/>
      <c r="C36" s="3"/>
      <c r="D36" s="3"/>
      <c r="E36" s="3"/>
      <c r="F36" s="3"/>
      <c r="G36" s="3"/>
      <c r="H36" s="3"/>
      <c r="I36" s="3"/>
      <c r="J36" s="3"/>
      <c r="K36" s="4"/>
      <c r="L36" s="4"/>
      <c r="M36" s="4"/>
      <c r="N36" s="4"/>
      <c r="O36" s="4"/>
      <c r="P36" s="4"/>
    </row>
    <row r="37" spans="1:16" ht="15" hidden="1">
      <c r="A37" s="17" t="s">
        <v>21</v>
      </c>
      <c r="B37" s="29">
        <v>15</v>
      </c>
      <c r="C37" s="29">
        <v>25.5</v>
      </c>
      <c r="D37" s="29">
        <v>17.85</v>
      </c>
      <c r="E37" s="29">
        <v>16.66</v>
      </c>
      <c r="F37" s="29">
        <v>16.66</v>
      </c>
      <c r="G37" s="29">
        <v>8.33</v>
      </c>
      <c r="H37" s="29">
        <v>0</v>
      </c>
      <c r="I37" s="29">
        <v>0</v>
      </c>
      <c r="J37" s="3"/>
      <c r="K37" s="4"/>
      <c r="L37" s="4"/>
      <c r="M37" s="4"/>
      <c r="N37" s="4"/>
      <c r="O37" s="4"/>
      <c r="P37" s="4"/>
    </row>
    <row r="38" spans="1:16" ht="15" hidden="1">
      <c r="A38" s="17" t="s">
        <v>22</v>
      </c>
      <c r="B38" s="1">
        <f>IF(G6&gt;=1,ROUND((+$B$7-$I$24)*B37*0.01,2),0)</f>
        <v>138.75</v>
      </c>
      <c r="C38" s="1">
        <f>IF(G6&gt;=2,ROUND((+$B$7-$I$24)*C37*0.01,2),0)</f>
        <v>235.88</v>
      </c>
      <c r="D38" s="1">
        <f>IF(G6&gt;=3,ROUND((+$B$7-$I$24)*D37*0.01,2),0)</f>
        <v>165.11</v>
      </c>
      <c r="E38" s="1">
        <f>IF(G6&gt;=4,ROUND((+$B$7-$I$24)*E37*0.01,2),0)</f>
        <v>154.11</v>
      </c>
      <c r="F38" s="1">
        <f>IF(G6&gt;=5,ROUND((+$B$7-$I$24)*F37*0.01,2),0)</f>
        <v>154.11</v>
      </c>
      <c r="G38" s="1">
        <f>IF(G6&gt;=6,ROUND((+$B$7-$I$24)*G37*0.01,2),0)</f>
        <v>77.05</v>
      </c>
      <c r="H38" s="1">
        <f>IF(G6&gt;=7,ROUND((+$B$7-$I$24)*H37*0.01,2),0)</f>
        <v>0</v>
      </c>
      <c r="I38" s="1">
        <f>IF(C7&gt;=7,ROUND((+$B$7-$I$24)*I37*0.01,2),0)</f>
        <v>0</v>
      </c>
      <c r="J38" s="3"/>
      <c r="K38" s="4"/>
      <c r="L38" s="4"/>
      <c r="M38" s="4"/>
      <c r="N38" s="4"/>
      <c r="O38" s="4"/>
      <c r="P38" s="4"/>
    </row>
    <row r="39" spans="1:16" ht="15.75" hidden="1">
      <c r="A39" s="2"/>
      <c r="B39" s="12"/>
      <c r="C39" s="37">
        <f>IF(SUM(B37:H37)&gt;100,"Caution..you have entered more than 100% depreciation!!!","")</f>
      </c>
      <c r="E39" s="12"/>
      <c r="F39" s="12"/>
      <c r="G39" s="12"/>
      <c r="H39" s="3"/>
      <c r="I39" s="3"/>
      <c r="J39" s="3"/>
      <c r="K39" s="4"/>
      <c r="L39" s="4"/>
      <c r="M39" s="4"/>
      <c r="N39" s="4"/>
      <c r="O39" s="4"/>
      <c r="P39" s="4"/>
    </row>
    <row r="40" spans="1:16" ht="15">
      <c r="A40" s="17" t="s">
        <v>23</v>
      </c>
      <c r="B40" s="3"/>
      <c r="C40" s="3"/>
      <c r="D40" s="3"/>
      <c r="E40" s="3"/>
      <c r="F40" s="3"/>
      <c r="G40" s="3"/>
      <c r="H40" s="3"/>
      <c r="I40" s="3"/>
      <c r="J40" s="3"/>
      <c r="K40" s="4"/>
      <c r="L40" s="4"/>
      <c r="M40" s="4"/>
      <c r="N40" s="4"/>
      <c r="O40" s="4"/>
      <c r="P40" s="4"/>
    </row>
    <row r="41" spans="1:16" ht="15">
      <c r="A41" s="17" t="s">
        <v>24</v>
      </c>
      <c r="B41" s="1">
        <f>IF(G6&gt;=1,+B22,0)</f>
        <v>-650</v>
      </c>
      <c r="C41" s="1">
        <f>IF(G6&gt;=2,+C22,0)</f>
        <v>72</v>
      </c>
      <c r="D41" s="1">
        <f>IF(G6&gt;=3,+D22,0)</f>
        <v>95</v>
      </c>
      <c r="E41" s="1">
        <f>IF(G6&gt;=4,+E22,0)</f>
        <v>95</v>
      </c>
      <c r="F41" s="1">
        <f>IF(G6&gt;=5,+F22,0)</f>
        <v>117</v>
      </c>
      <c r="G41" s="1">
        <f>IF(G6&gt;=6,+G22,0)</f>
        <v>117</v>
      </c>
      <c r="H41" s="1">
        <f>IF(G6&gt;=7,+H22,0)</f>
        <v>140</v>
      </c>
      <c r="I41" s="1">
        <f>IF(G6&gt;=7,+I22,0)</f>
        <v>140</v>
      </c>
      <c r="J41" s="3"/>
      <c r="K41" s="4"/>
      <c r="L41" s="4"/>
      <c r="M41" s="4"/>
      <c r="N41" s="4"/>
      <c r="O41" s="4"/>
      <c r="P41" s="4"/>
    </row>
    <row r="42" spans="1:16" ht="15">
      <c r="A42" s="3"/>
      <c r="B42" s="3"/>
      <c r="C42" s="3"/>
      <c r="D42" s="3"/>
      <c r="E42" s="3"/>
      <c r="F42" s="3"/>
      <c r="G42" s="3"/>
      <c r="H42" s="3"/>
      <c r="I42" s="3"/>
      <c r="J42" s="3"/>
      <c r="K42" s="4"/>
      <c r="L42" s="4"/>
      <c r="M42" s="4"/>
      <c r="N42" s="4"/>
      <c r="O42" s="4"/>
      <c r="P42" s="4"/>
    </row>
    <row r="43" spans="1:16" ht="15">
      <c r="A43" s="17" t="s">
        <v>25</v>
      </c>
      <c r="B43" s="1">
        <f aca="true" t="shared" si="0" ref="B43:H43">B41-B35</f>
        <v>-896.74</v>
      </c>
      <c r="C43" s="1">
        <f t="shared" si="0"/>
        <v>-174.73</v>
      </c>
      <c r="D43" s="1">
        <f t="shared" si="0"/>
        <v>-151.73000000000002</v>
      </c>
      <c r="E43" s="1">
        <f t="shared" si="0"/>
        <v>95</v>
      </c>
      <c r="F43" s="1">
        <f t="shared" si="0"/>
        <v>117</v>
      </c>
      <c r="G43" s="1">
        <f t="shared" si="0"/>
        <v>117</v>
      </c>
      <c r="H43" s="1">
        <f t="shared" si="0"/>
        <v>140</v>
      </c>
      <c r="I43" s="1">
        <f>I41</f>
        <v>140</v>
      </c>
      <c r="J43" s="3"/>
      <c r="K43" s="4"/>
      <c r="L43" s="4"/>
      <c r="M43" s="4"/>
      <c r="N43" s="4"/>
      <c r="O43" s="4"/>
      <c r="P43" s="4"/>
    </row>
    <row r="44" spans="1:16" ht="15">
      <c r="A44" s="3"/>
      <c r="B44" s="3"/>
      <c r="C44" s="3"/>
      <c r="D44" s="3"/>
      <c r="E44" s="3"/>
      <c r="F44" s="3"/>
      <c r="G44" s="3"/>
      <c r="H44" s="3"/>
      <c r="I44" s="3"/>
      <c r="J44" s="3"/>
      <c r="K44" s="4"/>
      <c r="L44" s="4"/>
      <c r="M44" s="4"/>
      <c r="N44" s="4"/>
      <c r="O44" s="4"/>
      <c r="P44" s="4"/>
    </row>
    <row r="45" spans="1:16" ht="15">
      <c r="A45" s="17" t="s">
        <v>26</v>
      </c>
      <c r="B45" s="36">
        <f>IF(G6=1,ROUND(+B15*$G$5/100,2),0)</f>
        <v>0</v>
      </c>
      <c r="C45" s="36">
        <f>IF(G6=2,ROUND(+C15*$G$5/100,2),0)</f>
        <v>0</v>
      </c>
      <c r="D45" s="36">
        <f>IF(G6=3,ROUND(+D15*$G$5/100,2),0)</f>
        <v>0</v>
      </c>
      <c r="E45" s="36">
        <f>IF(G6=4,ROUND(+E15*$G$5/100,2),0)</f>
        <v>0</v>
      </c>
      <c r="F45" s="36">
        <f>IF(G6=5,ROUND(+F15*$G$5/100,2),0)</f>
        <v>0</v>
      </c>
      <c r="G45" s="36">
        <f>IF(G6=6,ROUND(+G15*$G$5/100,2),0)</f>
        <v>0</v>
      </c>
      <c r="H45" s="36">
        <f>IF(G6=7,ROUND(+H15*$G$5/100,2),0)</f>
        <v>0</v>
      </c>
      <c r="I45" s="36">
        <f>IF(G6=8,ROUND(+I15*$G$5/100,2),0)</f>
        <v>862.5</v>
      </c>
      <c r="J45" s="3"/>
      <c r="K45" s="4"/>
      <c r="L45" s="4"/>
      <c r="M45" s="4"/>
      <c r="N45" s="4"/>
      <c r="O45" s="4"/>
      <c r="P45" s="4"/>
    </row>
    <row r="46" spans="1:16" ht="15">
      <c r="A46" s="3"/>
      <c r="B46" s="3"/>
      <c r="C46" s="3"/>
      <c r="D46" s="3"/>
      <c r="E46" s="3"/>
      <c r="F46" s="3"/>
      <c r="G46" s="3"/>
      <c r="H46" s="3"/>
      <c r="I46" s="3"/>
      <c r="J46" s="3"/>
      <c r="K46" s="4"/>
      <c r="L46" s="4"/>
      <c r="M46" s="4"/>
      <c r="N46" s="4"/>
      <c r="O46" s="4"/>
      <c r="P46" s="4"/>
    </row>
    <row r="47" spans="1:16" ht="15">
      <c r="A47" s="3"/>
      <c r="B47" s="1"/>
      <c r="D47" s="3"/>
      <c r="E47" s="3"/>
      <c r="F47" s="3"/>
      <c r="G47" s="3"/>
      <c r="H47" s="3"/>
      <c r="I47" s="3"/>
      <c r="J47" s="3"/>
      <c r="K47" s="4"/>
      <c r="L47" s="4"/>
      <c r="M47" s="4"/>
      <c r="N47" s="4"/>
      <c r="O47" s="4"/>
      <c r="P47" s="4"/>
    </row>
    <row r="48" spans="1:16" ht="15.75">
      <c r="A48" s="3"/>
      <c r="B48" s="1"/>
      <c r="C48" s="2"/>
      <c r="D48" s="38" t="s">
        <v>38</v>
      </c>
      <c r="E48" s="3"/>
      <c r="F48" s="3"/>
      <c r="G48" s="3"/>
      <c r="H48" s="3"/>
      <c r="I48" s="25"/>
      <c r="J48" s="3"/>
      <c r="K48" s="4"/>
      <c r="L48" s="4"/>
      <c r="M48" s="4"/>
      <c r="N48" s="4"/>
      <c r="O48" s="4"/>
      <c r="P48" s="4"/>
    </row>
    <row r="49" spans="1:16" ht="15.75" thickBot="1">
      <c r="A49" s="24" t="s">
        <v>27</v>
      </c>
      <c r="B49" s="24" t="s">
        <v>28</v>
      </c>
      <c r="C49" s="24" t="str">
        <f>IF(G6&gt;=2,"Year 2","")</f>
        <v>Year 2</v>
      </c>
      <c r="D49" s="24" t="str">
        <f>IF(G6&gt;=3,"Year 3","")</f>
        <v>Year 3</v>
      </c>
      <c r="E49" s="24" t="str">
        <f>IF(G6&gt;=4,"Year 4","")</f>
        <v>Year 4</v>
      </c>
      <c r="F49" s="24" t="str">
        <f>IF(G6&gt;=5,"Year 5","")</f>
        <v>Year 5</v>
      </c>
      <c r="G49" s="24" t="str">
        <f>IF(G6&gt;=6,"Year 6","")</f>
        <v>Year 6</v>
      </c>
      <c r="H49" s="43" t="str">
        <f>IF(G6&gt;=7,"Year 7","")</f>
        <v>Year 7</v>
      </c>
      <c r="I49" s="43" t="str">
        <f>IF(G6&gt;=8,"Year 8","")</f>
        <v>Year 8</v>
      </c>
      <c r="J49" s="3"/>
      <c r="K49" s="4"/>
      <c r="L49" s="4"/>
      <c r="M49" s="4"/>
      <c r="N49" s="4"/>
      <c r="O49" s="4"/>
      <c r="P49" s="4"/>
    </row>
    <row r="50" spans="1:16" ht="15.75" thickTop="1">
      <c r="A50" s="10">
        <f>IF(B29=0,-B7,-D27)</f>
        <v>-277.5</v>
      </c>
      <c r="B50" s="10">
        <f aca="true" t="shared" si="1" ref="B50:I50">B43+B45</f>
        <v>-896.74</v>
      </c>
      <c r="C50" s="10">
        <f t="shared" si="1"/>
        <v>-174.73</v>
      </c>
      <c r="D50" s="10">
        <f t="shared" si="1"/>
        <v>-151.73000000000002</v>
      </c>
      <c r="E50" s="10">
        <f t="shared" si="1"/>
        <v>95</v>
      </c>
      <c r="F50" s="10">
        <f t="shared" si="1"/>
        <v>117</v>
      </c>
      <c r="G50" s="10">
        <f t="shared" si="1"/>
        <v>117</v>
      </c>
      <c r="H50" s="10">
        <f t="shared" si="1"/>
        <v>140</v>
      </c>
      <c r="I50" s="10">
        <f t="shared" si="1"/>
        <v>1002.5</v>
      </c>
      <c r="J50" s="3"/>
      <c r="K50" s="4"/>
      <c r="L50" s="4"/>
      <c r="M50" s="4"/>
      <c r="N50" s="4"/>
      <c r="O50" s="4"/>
      <c r="P50" s="4"/>
    </row>
    <row r="51" spans="1:16" ht="15">
      <c r="A51" s="3"/>
      <c r="B51" s="3"/>
      <c r="C51" s="3"/>
      <c r="D51" s="3"/>
      <c r="E51" s="3"/>
      <c r="F51" s="3"/>
      <c r="G51" s="3"/>
      <c r="H51" s="3"/>
      <c r="I51" s="3"/>
      <c r="J51" s="3"/>
      <c r="K51" s="4"/>
      <c r="L51" s="4"/>
      <c r="M51" s="4"/>
      <c r="N51" s="4"/>
      <c r="O51" s="4"/>
      <c r="P51" s="4"/>
    </row>
    <row r="52" spans="1:16" ht="15.75" thickBot="1">
      <c r="A52" s="21" t="s">
        <v>39</v>
      </c>
      <c r="B52" s="13"/>
      <c r="C52" s="13"/>
      <c r="D52" s="13"/>
      <c r="E52" s="13"/>
      <c r="F52" s="13"/>
      <c r="G52" s="13"/>
      <c r="H52" s="13"/>
      <c r="I52" s="13"/>
      <c r="J52" s="3"/>
      <c r="K52" s="4"/>
      <c r="L52" s="4"/>
      <c r="M52" s="4"/>
      <c r="N52" s="4"/>
      <c r="O52" s="4"/>
      <c r="P52" s="4"/>
    </row>
    <row r="53" spans="1:16" ht="15.75" thickTop="1">
      <c r="A53" s="17" t="str">
        <f>IF(I8&lt;0,"The negative net present value indicates that the price of $"&amp;FIXED(B7,0,TRUE)&amp;" per head is too high.","The positive net present value indicates this is an economically feasible investment.")</f>
        <v>The negative net present value indicates that the price of $925 per head is too high.</v>
      </c>
      <c r="B53" s="3"/>
      <c r="C53" s="3"/>
      <c r="D53" s="3"/>
      <c r="E53" s="3"/>
      <c r="F53" s="3"/>
      <c r="G53" s="3"/>
      <c r="H53" s="3"/>
      <c r="I53" s="3"/>
      <c r="J53" s="3"/>
      <c r="K53" s="4"/>
      <c r="L53" s="4"/>
      <c r="M53" s="4"/>
      <c r="N53" s="4"/>
      <c r="O53" s="4"/>
      <c r="P53" s="4"/>
    </row>
    <row r="54" spans="1:16" ht="15">
      <c r="A54" s="17" t="str">
        <f>"This investment has an internal rate of return of "&amp;FIXED(A83,1,TRUE)&amp;"%."</f>
        <v>This investment has an internal rate of return of -0.3%.</v>
      </c>
      <c r="B54" s="3"/>
      <c r="C54" s="3"/>
      <c r="D54" s="3"/>
      <c r="E54" s="3"/>
      <c r="F54" s="3"/>
      <c r="G54" s="3"/>
      <c r="H54" s="3"/>
      <c r="I54" s="3"/>
      <c r="J54" s="3"/>
      <c r="K54" s="4"/>
      <c r="L54" s="4"/>
      <c r="M54" s="4"/>
      <c r="N54" s="4"/>
      <c r="O54" s="4"/>
      <c r="P54" s="4"/>
    </row>
    <row r="55" spans="1:16" ht="15">
      <c r="A55" s="17" t="str">
        <f>IF(A80="No","This investment does not pay back over this planning horizon",B80)</f>
        <v>This investment does not pay back over this planning horizon</v>
      </c>
      <c r="B55" s="3"/>
      <c r="C55" s="3"/>
      <c r="D55" s="3"/>
      <c r="E55" s="3"/>
      <c r="F55" s="3"/>
      <c r="G55" s="3"/>
      <c r="H55" s="3"/>
      <c r="I55" s="3"/>
      <c r="J55" s="3"/>
      <c r="K55" s="4"/>
      <c r="L55" s="4"/>
      <c r="M55" s="4"/>
      <c r="N55" s="4"/>
      <c r="O55" s="4"/>
      <c r="P55" s="4"/>
    </row>
    <row r="56" spans="1:16" ht="15">
      <c r="A56" s="17" t="str">
        <f>IF(SUM(B92:I92)=0,"The positive cash flows across the planning horizon indicate that this investment is financially feasible.",B95)</f>
        <v>This investment may not be financially feasible due to negative cash flow in years  one, two and three.</v>
      </c>
      <c r="B56" s="3"/>
      <c r="C56" s="3"/>
      <c r="D56" s="3"/>
      <c r="E56" s="3"/>
      <c r="F56" s="3"/>
      <c r="G56" s="3"/>
      <c r="H56" s="3"/>
      <c r="I56" s="3"/>
      <c r="J56" s="3"/>
      <c r="K56" s="4"/>
      <c r="L56" s="4"/>
      <c r="M56" s="4"/>
      <c r="N56" s="4"/>
      <c r="O56" s="4"/>
      <c r="P56" s="4"/>
    </row>
    <row r="57" spans="1:16" ht="15">
      <c r="A57" s="3"/>
      <c r="B57" s="3"/>
      <c r="C57" s="3"/>
      <c r="D57" s="3"/>
      <c r="E57" s="3"/>
      <c r="F57" s="3"/>
      <c r="G57" s="3"/>
      <c r="H57" s="3"/>
      <c r="I57" s="3"/>
      <c r="J57" s="3"/>
      <c r="K57" s="4"/>
      <c r="L57" s="4"/>
      <c r="M57" s="4"/>
      <c r="N57" s="4"/>
      <c r="O57" s="4"/>
      <c r="P57" s="4"/>
    </row>
    <row r="58" spans="1:16" ht="15" customHeight="1">
      <c r="A58" s="59"/>
      <c r="B58" s="59"/>
      <c r="C58" s="59"/>
      <c r="D58" s="59"/>
      <c r="E58" s="59"/>
      <c r="F58" s="59"/>
      <c r="G58" s="59"/>
      <c r="H58" s="59"/>
      <c r="I58" s="59"/>
      <c r="J58" s="3"/>
      <c r="K58" s="4"/>
      <c r="L58" s="4"/>
      <c r="M58" s="4"/>
      <c r="N58" s="4"/>
      <c r="O58" s="4"/>
      <c r="P58" s="4"/>
    </row>
    <row r="59" spans="1:16" ht="15.75">
      <c r="A59" s="60" t="s">
        <v>51</v>
      </c>
      <c r="B59" s="58"/>
      <c r="C59" s="58"/>
      <c r="D59" s="58"/>
      <c r="E59" s="58"/>
      <c r="F59" s="58"/>
      <c r="G59" s="58"/>
      <c r="H59" s="58"/>
      <c r="I59" s="58"/>
      <c r="J59" s="3"/>
      <c r="K59" s="4"/>
      <c r="L59" s="4"/>
      <c r="M59" s="4"/>
      <c r="N59" s="4"/>
      <c r="O59" s="4"/>
      <c r="P59" s="4"/>
    </row>
    <row r="60" spans="1:16" ht="15">
      <c r="A60" s="3"/>
      <c r="B60" s="3"/>
      <c r="C60" s="3"/>
      <c r="D60" s="3"/>
      <c r="E60" s="3"/>
      <c r="F60" s="3"/>
      <c r="G60" s="3"/>
      <c r="H60" s="3"/>
      <c r="I60" s="3"/>
      <c r="J60" s="3"/>
      <c r="K60" s="4"/>
      <c r="L60" s="4"/>
      <c r="M60" s="4"/>
      <c r="N60" s="4"/>
      <c r="O60" s="4"/>
      <c r="P60" s="4"/>
    </row>
    <row r="61" spans="1:16" ht="15">
      <c r="A61" s="55" t="s">
        <v>48</v>
      </c>
      <c r="B61" s="69">
        <v>10</v>
      </c>
      <c r="C61" s="55"/>
      <c r="D61" s="55"/>
      <c r="E61" s="55"/>
      <c r="F61" s="55"/>
      <c r="G61" s="55"/>
      <c r="I61" s="3"/>
      <c r="J61" s="3"/>
      <c r="K61" s="4"/>
      <c r="L61" s="4"/>
      <c r="M61" s="4"/>
      <c r="N61" s="4"/>
      <c r="O61" s="4"/>
      <c r="P61" s="4"/>
    </row>
    <row r="62" spans="1:16" ht="15">
      <c r="A62" s="55" t="s">
        <v>49</v>
      </c>
      <c r="B62" s="69">
        <v>10</v>
      </c>
      <c r="C62" s="55"/>
      <c r="D62" s="55"/>
      <c r="E62" s="55"/>
      <c r="F62" s="55"/>
      <c r="G62" s="55"/>
      <c r="I62" s="3"/>
      <c r="J62" s="3"/>
      <c r="K62" s="4"/>
      <c r="L62" s="4"/>
      <c r="M62" s="4"/>
      <c r="N62" s="4"/>
      <c r="O62" s="4"/>
      <c r="P62" s="4"/>
    </row>
    <row r="63" spans="1:16" ht="15">
      <c r="A63" s="55"/>
      <c r="B63" s="55"/>
      <c r="C63" s="55"/>
      <c r="D63" s="55"/>
      <c r="E63" s="55"/>
      <c r="F63" s="55"/>
      <c r="G63" s="55"/>
      <c r="I63" s="3"/>
      <c r="J63" s="3"/>
      <c r="K63" s="4"/>
      <c r="L63" s="4"/>
      <c r="M63" s="4"/>
      <c r="N63" s="4"/>
      <c r="O63" s="4"/>
      <c r="P63" s="4"/>
    </row>
    <row r="64" spans="1:16" ht="15.75">
      <c r="A64" s="55"/>
      <c r="B64" s="57" t="s">
        <v>47</v>
      </c>
      <c r="C64" s="55"/>
      <c r="D64" s="55"/>
      <c r="E64" s="55"/>
      <c r="F64" s="55"/>
      <c r="G64" s="55"/>
      <c r="I64" s="3"/>
      <c r="J64" s="3"/>
      <c r="K64" s="4"/>
      <c r="L64" s="4"/>
      <c r="M64" s="4"/>
      <c r="N64" s="4"/>
      <c r="O64" s="4"/>
      <c r="P64" s="4"/>
    </row>
    <row r="65" spans="1:16" ht="15">
      <c r="A65" s="55"/>
      <c r="B65" s="55"/>
      <c r="C65" s="55"/>
      <c r="D65" s="55"/>
      <c r="E65" s="55"/>
      <c r="F65" s="55"/>
      <c r="G65" s="55"/>
      <c r="I65" s="3"/>
      <c r="J65" s="3"/>
      <c r="K65" s="4"/>
      <c r="L65" s="4"/>
      <c r="M65" s="4"/>
      <c r="N65" s="4"/>
      <c r="O65" s="4"/>
      <c r="P65" s="4"/>
    </row>
    <row r="66" spans="1:16" ht="15.75">
      <c r="A66" s="55"/>
      <c r="B66" s="62" t="s">
        <v>50</v>
      </c>
      <c r="C66" s="77" t="s">
        <v>46</v>
      </c>
      <c r="D66" s="78"/>
      <c r="E66" s="78"/>
      <c r="F66" s="78"/>
      <c r="G66" s="79"/>
      <c r="I66" s="3"/>
      <c r="J66" s="3"/>
      <c r="K66" s="4"/>
      <c r="L66" s="4"/>
      <c r="M66" s="4"/>
      <c r="N66" s="4"/>
      <c r="O66" s="4"/>
      <c r="P66" s="4"/>
    </row>
    <row r="67" spans="1:16" ht="15.75">
      <c r="A67" s="55"/>
      <c r="B67" s="63" t="s">
        <v>45</v>
      </c>
      <c r="C67" s="66">
        <f>+J102</f>
        <v>520</v>
      </c>
      <c r="D67" s="67">
        <f>+J107</f>
        <v>585</v>
      </c>
      <c r="E67" s="67">
        <f>+J112</f>
        <v>650</v>
      </c>
      <c r="F67" s="67">
        <f>+J117</f>
        <v>715.0000000000001</v>
      </c>
      <c r="G67" s="68">
        <f>+J122</f>
        <v>780</v>
      </c>
      <c r="I67" s="3"/>
      <c r="J67" s="3"/>
      <c r="K67" s="4"/>
      <c r="L67" s="4"/>
      <c r="M67" s="4"/>
      <c r="N67" s="4"/>
      <c r="O67" s="4"/>
      <c r="P67" s="4"/>
    </row>
    <row r="68" spans="1:16" ht="15.75">
      <c r="A68" s="55"/>
      <c r="B68" s="64">
        <f aca="true" t="shared" si="2" ref="B68:C72">+K102</f>
        <v>740</v>
      </c>
      <c r="C68" s="61">
        <f t="shared" si="2"/>
        <v>844.5188016863473</v>
      </c>
      <c r="D68" s="56">
        <f>+L107</f>
        <v>388.2388093665412</v>
      </c>
      <c r="E68" s="56">
        <f>+L112</f>
        <v>-68.04118295326498</v>
      </c>
      <c r="F68" s="56">
        <f>+L117</f>
        <v>-524.3211752730708</v>
      </c>
      <c r="G68" s="56">
        <f>+L122</f>
        <v>-980.6011675928772</v>
      </c>
      <c r="I68" s="3"/>
      <c r="J68" s="3"/>
      <c r="K68" s="4"/>
      <c r="L68" s="4"/>
      <c r="M68" s="4"/>
      <c r="N68" s="4"/>
      <c r="O68" s="4"/>
      <c r="P68" s="4"/>
    </row>
    <row r="69" spans="1:16" ht="15.75">
      <c r="A69" s="55"/>
      <c r="B69" s="64">
        <f t="shared" si="2"/>
        <v>832.5</v>
      </c>
      <c r="C69" s="61">
        <f t="shared" si="2"/>
        <v>746.9680994066379</v>
      </c>
      <c r="D69" s="56">
        <f>+L108</f>
        <v>290.6881070868318</v>
      </c>
      <c r="E69" s="56">
        <f>+L113</f>
        <v>-165.59188523297405</v>
      </c>
      <c r="F69" s="56">
        <f>+L118</f>
        <v>-621.87187755278</v>
      </c>
      <c r="G69" s="56">
        <f>+L123</f>
        <v>-1078.1518698725863</v>
      </c>
      <c r="I69" s="3"/>
      <c r="J69" s="3"/>
      <c r="K69" s="4"/>
      <c r="L69" s="4"/>
      <c r="M69" s="4"/>
      <c r="N69" s="4"/>
      <c r="O69" s="4"/>
      <c r="P69" s="4"/>
    </row>
    <row r="70" spans="1:16" ht="15.75">
      <c r="A70" s="55"/>
      <c r="B70" s="64">
        <f t="shared" si="2"/>
        <v>925</v>
      </c>
      <c r="C70" s="61">
        <f t="shared" si="2"/>
        <v>649.4171225844307</v>
      </c>
      <c r="D70" s="56">
        <f>+L109</f>
        <v>193.13713026462426</v>
      </c>
      <c r="E70" s="56">
        <f>+L114</f>
        <v>-263.14286205518135</v>
      </c>
      <c r="F70" s="56">
        <f>+L119</f>
        <v>-719.4228543749871</v>
      </c>
      <c r="G70" s="56">
        <f>+L124</f>
        <v>-1175.7028466947936</v>
      </c>
      <c r="I70" s="3"/>
      <c r="J70" s="3"/>
      <c r="K70" s="4"/>
      <c r="L70" s="4"/>
      <c r="M70" s="4"/>
      <c r="N70" s="4"/>
      <c r="O70" s="4"/>
      <c r="P70" s="4"/>
    </row>
    <row r="71" spans="1:16" ht="15.75">
      <c r="A71" s="55"/>
      <c r="B71" s="64">
        <f t="shared" si="2"/>
        <v>1017.5000000000001</v>
      </c>
      <c r="C71" s="61">
        <f t="shared" si="2"/>
        <v>551.8761290425853</v>
      </c>
      <c r="D71" s="56">
        <f>+L110</f>
        <v>95.59613672277908</v>
      </c>
      <c r="E71" s="56">
        <f>+L115</f>
        <v>-360.68385559702676</v>
      </c>
      <c r="F71" s="56">
        <f>+L120</f>
        <v>-816.9638479168327</v>
      </c>
      <c r="G71" s="56">
        <f>+L125</f>
        <v>-1273.2438402366392</v>
      </c>
      <c r="I71" s="3"/>
      <c r="J71" s="3"/>
      <c r="K71" s="4"/>
      <c r="L71" s="4"/>
      <c r="M71" s="4"/>
      <c r="N71" s="4"/>
      <c r="O71" s="4"/>
      <c r="P71" s="4"/>
    </row>
    <row r="72" spans="1:16" ht="15.75">
      <c r="A72" s="55"/>
      <c r="B72" s="65">
        <f t="shared" si="2"/>
        <v>1110</v>
      </c>
      <c r="C72" s="61">
        <f t="shared" si="2"/>
        <v>454.3348609582424</v>
      </c>
      <c r="D72" s="56">
        <f>+L111</f>
        <v>-1.9451313615639947</v>
      </c>
      <c r="E72" s="56">
        <f>+L116</f>
        <v>-458.22512368137006</v>
      </c>
      <c r="F72" s="56">
        <f>+L121</f>
        <v>-914.5051160011756</v>
      </c>
      <c r="G72" s="56">
        <f>+L126</f>
        <v>-1370.7851083209816</v>
      </c>
      <c r="I72" s="3"/>
      <c r="J72" s="3"/>
      <c r="K72" s="4"/>
      <c r="L72" s="4"/>
      <c r="M72" s="4"/>
      <c r="N72" s="4"/>
      <c r="O72" s="4"/>
      <c r="P72" s="4"/>
    </row>
    <row r="73" spans="9:16" ht="15">
      <c r="I73" s="3"/>
      <c r="J73" s="3"/>
      <c r="K73" s="4"/>
      <c r="L73" s="4"/>
      <c r="M73" s="4"/>
      <c r="N73" s="4"/>
      <c r="O73" s="4"/>
      <c r="P73" s="4"/>
    </row>
    <row r="74" spans="1:16" ht="15">
      <c r="A74" s="3"/>
      <c r="B74" s="3"/>
      <c r="C74" s="3"/>
      <c r="D74" s="3"/>
      <c r="E74" s="3"/>
      <c r="F74" s="3"/>
      <c r="G74" s="3"/>
      <c r="H74" s="3"/>
      <c r="I74" s="3"/>
      <c r="J74" s="3"/>
      <c r="K74" s="4"/>
      <c r="L74" s="4"/>
      <c r="M74" s="4"/>
      <c r="N74" s="4"/>
      <c r="O74" s="4"/>
      <c r="P74" s="4"/>
    </row>
    <row r="75" spans="1:16" ht="15">
      <c r="A75" s="3"/>
      <c r="B75" s="3"/>
      <c r="C75" s="3"/>
      <c r="D75" s="3"/>
      <c r="E75" s="3"/>
      <c r="F75" s="3"/>
      <c r="G75" s="3"/>
      <c r="H75" s="3"/>
      <c r="I75" s="3"/>
      <c r="J75" s="3"/>
      <c r="K75" s="4"/>
      <c r="L75" s="4"/>
      <c r="M75" s="4"/>
      <c r="N75" s="4"/>
      <c r="O75" s="4"/>
      <c r="P75" s="4"/>
    </row>
    <row r="76" spans="1:16" ht="15">
      <c r="A76" s="3"/>
      <c r="B76" s="3"/>
      <c r="C76" s="3"/>
      <c r="D76" s="3"/>
      <c r="E76" s="3"/>
      <c r="F76" s="3"/>
      <c r="G76" s="3"/>
      <c r="H76" s="3"/>
      <c r="I76" s="3"/>
      <c r="J76" s="3"/>
      <c r="K76" s="4"/>
      <c r="L76" s="4"/>
      <c r="M76" s="4"/>
      <c r="N76" s="4"/>
      <c r="O76" s="4"/>
      <c r="P76" s="4"/>
    </row>
    <row r="77" spans="1:16" ht="15" hidden="1">
      <c r="A77" s="3" t="s">
        <v>31</v>
      </c>
      <c r="B77" s="41">
        <f>IF(SUM(A50:B50)&gt;0,1,99)</f>
        <v>99</v>
      </c>
      <c r="C77" s="41">
        <f>IF(SUM(A50:C50)&gt;0,2,99)</f>
        <v>99</v>
      </c>
      <c r="D77" s="41">
        <f>IF(SUM(A50:D50)&gt;0,3,99)</f>
        <v>99</v>
      </c>
      <c r="E77" s="41">
        <f>IF(SUM(A50:E50)&gt;0,4,99)</f>
        <v>99</v>
      </c>
      <c r="F77" s="41">
        <f>IF(SUM(A50:F50)&gt;0,5,99)</f>
        <v>99</v>
      </c>
      <c r="G77" s="41">
        <f>IF(SUM(A50:G50)&gt;0,6,99)</f>
        <v>99</v>
      </c>
      <c r="H77" s="41">
        <f>IF(SUM(A50:H50)&gt;0,7,99)</f>
        <v>99</v>
      </c>
      <c r="I77" s="41">
        <f>IF(SUM(A50:I50)&gt;0,8,99)</f>
        <v>99</v>
      </c>
      <c r="J77" s="3"/>
      <c r="K77" s="4"/>
      <c r="L77" s="4"/>
      <c r="M77" s="4"/>
      <c r="N77" s="4"/>
      <c r="O77" s="4"/>
      <c r="P77" s="4"/>
    </row>
    <row r="78" spans="1:16" ht="15" hidden="1">
      <c r="A78" s="3"/>
      <c r="B78" s="3"/>
      <c r="C78" s="3"/>
      <c r="D78" s="3"/>
      <c r="E78" s="3"/>
      <c r="F78" s="3"/>
      <c r="G78" s="3"/>
      <c r="H78" s="3"/>
      <c r="I78" s="3"/>
      <c r="J78" s="3"/>
      <c r="K78" s="4"/>
      <c r="L78" s="4"/>
      <c r="M78" s="4"/>
      <c r="N78" s="4"/>
      <c r="O78" s="4"/>
      <c r="P78" s="4"/>
    </row>
    <row r="79" spans="1:16" ht="15" hidden="1">
      <c r="A79" s="7" t="s">
        <v>29</v>
      </c>
      <c r="B79" s="3"/>
      <c r="C79" s="3"/>
      <c r="D79" s="3"/>
      <c r="E79" s="3"/>
      <c r="F79" s="3"/>
      <c r="G79" s="3"/>
      <c r="H79" s="3"/>
      <c r="I79" s="3"/>
      <c r="J79" s="3"/>
      <c r="K79" s="4"/>
      <c r="L79" s="4"/>
      <c r="M79" s="4"/>
      <c r="N79" s="4"/>
      <c r="O79" s="4"/>
      <c r="P79" s="4"/>
    </row>
    <row r="80" spans="1:16" ht="15" hidden="1">
      <c r="A80" s="3" t="str">
        <f>IF(MIN(B77:I77)=99,"No",MIN(B77:I77))</f>
        <v>No</v>
      </c>
      <c r="B80" s="3" t="str">
        <f>IF(A80="No","This investment does not pay back over the planning horizon","This investment has a payback period of "&amp;A80&amp;" years.")</f>
        <v>This investment does not pay back over the planning horizon</v>
      </c>
      <c r="C80" s="3"/>
      <c r="D80" s="3"/>
      <c r="E80" s="3"/>
      <c r="F80" s="3"/>
      <c r="G80" s="3"/>
      <c r="H80" s="3"/>
      <c r="I80" s="3"/>
      <c r="J80" s="3"/>
      <c r="K80" s="4"/>
      <c r="L80" s="4"/>
      <c r="M80" s="4"/>
      <c r="N80" s="4"/>
      <c r="O80" s="4"/>
      <c r="P80" s="4"/>
    </row>
    <row r="81" spans="1:16" ht="15" hidden="1">
      <c r="A81" s="3">
        <f>SUM(B50:I50)/B7</f>
        <v>0.26843243243243237</v>
      </c>
      <c r="B81" s="3"/>
      <c r="C81" s="3"/>
      <c r="D81" s="3"/>
      <c r="E81" s="3"/>
      <c r="F81" s="3"/>
      <c r="G81" s="3"/>
      <c r="H81" s="3"/>
      <c r="I81" s="3"/>
      <c r="J81" s="3"/>
      <c r="K81" s="4"/>
      <c r="L81" s="4"/>
      <c r="M81" s="4"/>
      <c r="N81" s="4"/>
      <c r="O81" s="4"/>
      <c r="P81" s="4"/>
    </row>
    <row r="82" spans="1:16" ht="15" hidden="1">
      <c r="A82" s="46">
        <f>ROUND(IRR(A50:I50),3)*100</f>
        <v>-0.3</v>
      </c>
      <c r="B82" s="3"/>
      <c r="C82" s="3">
        <f>IF(ISERROR(A82),1,A82)</f>
        <v>-0.3</v>
      </c>
      <c r="D82" s="14"/>
      <c r="E82" s="3"/>
      <c r="F82" s="3"/>
      <c r="G82" s="3"/>
      <c r="H82" s="3"/>
      <c r="I82" s="3"/>
      <c r="J82" s="3"/>
      <c r="K82" s="4"/>
      <c r="L82" s="4"/>
      <c r="M82" s="4"/>
      <c r="N82" s="4"/>
      <c r="O82" s="4"/>
      <c r="P82" s="4"/>
    </row>
    <row r="83" spans="1:16" ht="15" hidden="1">
      <c r="A83" s="45">
        <f>IF(C82=1,ROUND(IRR(A50:I50,1),3)*100,A82)</f>
        <v>-0.3</v>
      </c>
      <c r="B83" s="3"/>
      <c r="C83" s="3"/>
      <c r="D83" s="14"/>
      <c r="E83" s="3"/>
      <c r="F83" s="3"/>
      <c r="G83" s="3"/>
      <c r="H83" s="3"/>
      <c r="I83" s="3"/>
      <c r="J83" s="3"/>
      <c r="K83" s="4"/>
      <c r="L83" s="4"/>
      <c r="M83" s="4"/>
      <c r="N83" s="4"/>
      <c r="O83" s="4"/>
      <c r="P83" s="4"/>
    </row>
    <row r="84" spans="1:16" ht="15" hidden="1">
      <c r="A84" s="3"/>
      <c r="B84" s="3"/>
      <c r="C84" s="3"/>
      <c r="D84" s="3"/>
      <c r="E84" s="3"/>
      <c r="F84" s="3"/>
      <c r="G84" s="3"/>
      <c r="H84" s="3"/>
      <c r="I84" s="3"/>
      <c r="J84" s="3"/>
      <c r="K84" s="4"/>
      <c r="L84" s="4"/>
      <c r="M84" s="4"/>
      <c r="N84" s="4"/>
      <c r="O84" s="4"/>
      <c r="P84" s="4"/>
    </row>
    <row r="85" spans="1:16" ht="15" hidden="1">
      <c r="A85" s="3"/>
      <c r="B85" s="3"/>
      <c r="C85" s="3"/>
      <c r="D85" s="3"/>
      <c r="E85" s="3"/>
      <c r="F85" s="3"/>
      <c r="G85" s="3"/>
      <c r="H85" s="3"/>
      <c r="I85" s="3"/>
      <c r="J85" s="3"/>
      <c r="K85" s="4"/>
      <c r="L85" s="4"/>
      <c r="M85" s="4"/>
      <c r="N85" s="4"/>
      <c r="O85" s="4"/>
      <c r="P85" s="4"/>
    </row>
    <row r="86" spans="1:16" ht="15" hidden="1">
      <c r="A86" s="3"/>
      <c r="B86" s="3"/>
      <c r="C86" s="3"/>
      <c r="D86" s="3"/>
      <c r="E86" s="3"/>
      <c r="F86" s="3"/>
      <c r="G86" s="3"/>
      <c r="H86" s="3"/>
      <c r="I86" s="3"/>
      <c r="J86" s="3"/>
      <c r="K86" s="4"/>
      <c r="L86" s="4"/>
      <c r="M86" s="4"/>
      <c r="N86" s="4"/>
      <c r="O86" s="4"/>
      <c r="P86" s="4"/>
    </row>
    <row r="87" spans="1:16" ht="15.75" hidden="1" thickBot="1">
      <c r="A87" s="3"/>
      <c r="B87" s="11">
        <f>IF(B29&gt;=1,ROUND(PPMT(B31*0.01,1,B29,-(((1-B27*0.01)*B7))),2),0)</f>
        <v>201.41</v>
      </c>
      <c r="C87" s="11">
        <f>IF(B29&gt;=2,ROUND(PPMT(B31*0.01,2,B29,-(((1-B27*0.01)*B7))),2),0)</f>
        <v>215.5</v>
      </c>
      <c r="D87" s="11">
        <f>IF(B29&gt;=3,ROUND(PPMT(B31*0.01,3,B29,-(((1-B27*0.01)*B7))),2),0)</f>
        <v>230.59</v>
      </c>
      <c r="E87" s="11">
        <f>IF(B29&gt;=4,ROUND(PPMT(B31*0.01,4,B29,-(((1-B27*0.01)*B7))),2),0)</f>
        <v>0</v>
      </c>
      <c r="F87" s="11">
        <f>IF(B29&gt;=5,ROUND(PPMT(B31*0.01,5,B29,-(((1-B27*0.01)*B7))),2),0)</f>
        <v>0</v>
      </c>
      <c r="G87" s="11">
        <f>IF(B29&gt;=6,ROUND(PPMT(B31*0.01,6,B29,-(((1-B27*0.01)*B7))),2),0)</f>
        <v>0</v>
      </c>
      <c r="H87" s="11">
        <f>IF(B29&gt;=7,ROUND(PPMT(B31*0.01,7,B29,-(((1-B27*0.01)*B7))),2),0)</f>
        <v>0</v>
      </c>
      <c r="I87" s="3"/>
      <c r="J87" s="3"/>
      <c r="K87" s="4"/>
      <c r="L87" s="4"/>
      <c r="M87" s="4"/>
      <c r="N87" s="4"/>
      <c r="O87" s="4"/>
      <c r="P87" s="4"/>
    </row>
    <row r="88" spans="1:16" ht="15.75" hidden="1" thickTop="1">
      <c r="A88" s="3"/>
      <c r="B88" s="3"/>
      <c r="C88" s="3"/>
      <c r="D88" s="3"/>
      <c r="E88" s="3"/>
      <c r="F88" s="3"/>
      <c r="G88" s="3"/>
      <c r="H88" s="3"/>
      <c r="I88" s="3"/>
      <c r="J88" s="3"/>
      <c r="K88" s="4"/>
      <c r="L88" s="4"/>
      <c r="M88" s="4"/>
      <c r="N88" s="4"/>
      <c r="O88" s="4"/>
      <c r="P88" s="4"/>
    </row>
    <row r="89" spans="1:16" ht="15" hidden="1">
      <c r="A89" s="3"/>
      <c r="B89" s="3"/>
      <c r="C89" s="3"/>
      <c r="D89" s="3"/>
      <c r="E89" s="3"/>
      <c r="F89" s="3"/>
      <c r="G89" s="3"/>
      <c r="H89" s="3"/>
      <c r="I89" s="3"/>
      <c r="J89" s="3"/>
      <c r="K89" s="4"/>
      <c r="L89" s="4"/>
      <c r="M89" s="4"/>
      <c r="N89" s="4"/>
      <c r="O89" s="4"/>
      <c r="P89" s="4"/>
    </row>
    <row r="90" spans="1:16" ht="15" hidden="1">
      <c r="A90" s="10">
        <f>+A50</f>
        <v>-277.5</v>
      </c>
      <c r="B90" s="3">
        <f>(B50/(1+($G$7/100)))</f>
        <v>-870.6213592233009</v>
      </c>
      <c r="C90" s="3">
        <f>(C50/(1+($G$7/100))^2)</f>
        <v>-164.6997832029409</v>
      </c>
      <c r="D90" s="3">
        <f>(D50/(1+($G$7/100))^3)</f>
        <v>-138.85444397365492</v>
      </c>
      <c r="E90" s="3">
        <f>(E50/(1+($G$7/100))^4)</f>
        <v>84.40626955199045</v>
      </c>
      <c r="F90" s="3">
        <f>(F50/(1+($G$7/100))^5)</f>
        <v>100.9252277729472</v>
      </c>
      <c r="G90" s="3">
        <f>(G50/(1+($G$7/100))^6)</f>
        <v>97.98565803198757</v>
      </c>
      <c r="H90" s="3">
        <f>(H50/(1+($G$7/100))^7)</f>
        <v>113.83281158806953</v>
      </c>
      <c r="I90" s="3">
        <f>(I50/(1+($G$7/100))^8)</f>
        <v>791.3827573997206</v>
      </c>
      <c r="J90" s="3"/>
      <c r="K90" s="4"/>
      <c r="L90" s="4"/>
      <c r="M90" s="4"/>
      <c r="N90" s="4"/>
      <c r="O90" s="4"/>
      <c r="P90" s="4"/>
    </row>
    <row r="91" spans="1:16" ht="15" hidden="1">
      <c r="A91" s="3"/>
      <c r="B91" s="3"/>
      <c r="C91" s="3"/>
      <c r="D91" s="3"/>
      <c r="E91" s="3"/>
      <c r="F91" s="3"/>
      <c r="G91" s="3"/>
      <c r="H91" s="3"/>
      <c r="I91" s="3"/>
      <c r="J91" s="3"/>
      <c r="K91" s="4"/>
      <c r="L91" s="4"/>
      <c r="M91" s="4"/>
      <c r="N91" s="4"/>
      <c r="O91" s="4"/>
      <c r="P91" s="4"/>
    </row>
    <row r="92" spans="1:16" ht="15" hidden="1">
      <c r="A92" s="3"/>
      <c r="B92" s="3">
        <f aca="true" t="shared" si="3" ref="B92:I92">IF(B50&lt;0,1,0)</f>
        <v>1</v>
      </c>
      <c r="C92" s="3">
        <f t="shared" si="3"/>
        <v>1</v>
      </c>
      <c r="D92" s="3">
        <f t="shared" si="3"/>
        <v>1</v>
      </c>
      <c r="E92" s="3">
        <f t="shared" si="3"/>
        <v>0</v>
      </c>
      <c r="F92" s="3">
        <f t="shared" si="3"/>
        <v>0</v>
      </c>
      <c r="G92" s="3">
        <f t="shared" si="3"/>
        <v>0</v>
      </c>
      <c r="H92" s="3">
        <f t="shared" si="3"/>
        <v>0</v>
      </c>
      <c r="I92" s="3">
        <f t="shared" si="3"/>
        <v>0</v>
      </c>
      <c r="J92" s="3"/>
      <c r="K92" s="4"/>
      <c r="L92" s="4"/>
      <c r="M92" s="4"/>
      <c r="N92" s="4"/>
      <c r="O92" s="4"/>
      <c r="P92" s="4"/>
    </row>
    <row r="93" spans="1:16" ht="15" hidden="1">
      <c r="A93" s="3"/>
      <c r="B93" s="41" t="str">
        <f>IF(B92=0,"",IF(SUM(C92:I92)=1," one and",IF(SUM(C92:I92)&gt;1," one,"," one.")))</f>
        <v> one,</v>
      </c>
      <c r="C93" s="41" t="str">
        <f>IF(C92=0,"",IF(SUM(C92:I92)=0,"",IF(SUM(D92:I92)=1," two and",IF(SUM(D92:I92)&gt;1," two,"," two."))))</f>
        <v> two and</v>
      </c>
      <c r="D93" s="41" t="str">
        <f>IF(D92=0,"",IF(SUM(D92:I92)=0,"",IF(SUM(E92:I92)=1," three and",IF(SUM(E92:I92)&gt;1," three,"," three."))))</f>
        <v> three.</v>
      </c>
      <c r="E93" s="41">
        <f>IF(E92=0,"",IF(SUM(E92:I92)=0,"",IF(SUM(F92:I92)=1," four and",IF(SUM(F92:I92)&gt;1," four,"," four."))))</f>
      </c>
      <c r="F93" s="41">
        <f>IF(F92=0,"",IF(SUM(F92:I92)=0,"",IF(SUM(G92:I92)=1," five and",IF(SUM(G92:I92)&gt;1," five,"," five."))))</f>
      </c>
      <c r="G93" s="41">
        <f>IF(G92=0,"",IF(SUM(G92:I92)=0,"",IF(SUM(H92:I92)=1," six and",IF(SUM(H92:I92)&gt;1," six,"," six."))))</f>
      </c>
      <c r="H93" s="41">
        <f>IF(H92=0,"",IF(SUM(H92:I92)=0,"",IF(SUM(I92:I92)=1," seven and",IF(SUM(I92:I92)&gt;1," seven,"," seven."))))</f>
      </c>
      <c r="I93" s="41">
        <f>IF(I92=1,IF(SUM(B92:H92)=0,"eight."," eight."),"")</f>
      </c>
      <c r="J93" s="3"/>
      <c r="K93" s="4"/>
      <c r="L93" s="4"/>
      <c r="M93" s="4"/>
      <c r="N93" s="4"/>
      <c r="O93" s="4"/>
      <c r="P93" s="4"/>
    </row>
    <row r="94" spans="1:16" ht="15" hidden="1">
      <c r="A94" s="3"/>
      <c r="B94" s="41" t="str">
        <f>B93&amp;C93&amp;D93&amp;E93&amp;F93&amp;G93&amp;H93&amp;I93</f>
        <v> one, two and three.</v>
      </c>
      <c r="C94" s="41"/>
      <c r="D94" s="41"/>
      <c r="E94" s="41"/>
      <c r="F94" s="41"/>
      <c r="G94" s="41"/>
      <c r="H94" s="41"/>
      <c r="I94" s="41"/>
      <c r="J94" s="3"/>
      <c r="K94" s="4"/>
      <c r="L94" s="4"/>
      <c r="M94" s="4"/>
      <c r="N94" s="4"/>
      <c r="O94" s="4"/>
      <c r="P94" s="4"/>
    </row>
    <row r="95" spans="1:16" ht="15" hidden="1">
      <c r="A95" s="4"/>
      <c r="B95" s="41" t="str">
        <f>IF(SUM(B92:I92)&gt;1,"This investment may not be financially feasible due to negative cash flow in years "&amp;B94,"This investment may not be financially feasible due to negative cash flow in year "&amp;B94)</f>
        <v>This investment may not be financially feasible due to negative cash flow in years  one, two and three.</v>
      </c>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ht="12.75" hidden="1"/>
    <row r="100" ht="12.75" hidden="1"/>
    <row r="101" spans="1:12" ht="12.75" hidden="1">
      <c r="A101" s="53" t="s">
        <v>44</v>
      </c>
      <c r="B101" s="47"/>
      <c r="J101" s="53" t="s">
        <v>40</v>
      </c>
      <c r="K101" s="53" t="s">
        <v>41</v>
      </c>
      <c r="L101" s="53" t="s">
        <v>42</v>
      </c>
    </row>
    <row r="102" spans="1:12" ht="12.75" hidden="1">
      <c r="A102" s="47">
        <f>+$A$90-($A$90*(0.02*$B$62))</f>
        <v>-222</v>
      </c>
      <c r="B102" s="47">
        <f>IF(B50=0,0,(B50+(B20*($B$61*0.02))+B35-B131)/(1+($G$7/100)))</f>
        <v>-696.4854368932039</v>
      </c>
      <c r="C102" s="47">
        <f>IF(C50=0,0,(C50+(C20*($B$61*0.02))+C35-C131)/(1+($G$7/100))^2)</f>
        <v>4.354793100197949</v>
      </c>
      <c r="D102" s="47">
        <f>IF(D50=0,0,(D50+(D20*($B$61*0.02))+D35-D131)/(1+($G$7/100))^3)</f>
        <v>25.27621263133427</v>
      </c>
      <c r="E102" s="47">
        <f>IF(E50=0,0,(E50+(E20*($B$61*0.02))+E35-E131)/(1+($G$7/100))^4)</f>
        <v>199.90958578103002</v>
      </c>
      <c r="F102" s="47">
        <f>IF(F50=0,0,(F50+(F20*($B$61*0.02))+F35-F131)/(1+($G$7/100))^5)</f>
        <v>213.06436974288854</v>
      </c>
      <c r="G102" s="47">
        <f>IF(G50=0,0,(G50+(G20*($B$61*0.02))+G35-G131)/(1+($G$7/100))^6)</f>
        <v>206.85861140086263</v>
      </c>
      <c r="H102" s="47">
        <f>IF(H50=0,0,(H50+(H20*($B$61*0.02))+H35-H131)/(1+($G$7/100))^7)</f>
        <v>219.5347080627055</v>
      </c>
      <c r="I102" s="47">
        <f>IF(I50=0,0,(I50+(I20*($B$61*0.02))+I35-I131)/(1+($G$7/100))^8)</f>
        <v>894.0059578605322</v>
      </c>
      <c r="J102" s="48">
        <f>+AVERAGE($B$20:$I$20)*(1-(0.02*$B$61))</f>
        <v>520</v>
      </c>
      <c r="K102" s="49">
        <f>+$A$129</f>
        <v>740</v>
      </c>
      <c r="L102" s="47">
        <f>+SUM(A102:I102)</f>
        <v>844.5188016863473</v>
      </c>
    </row>
    <row r="103" spans="1:12" ht="12.75" hidden="1">
      <c r="A103" s="47">
        <f>+$A$90-($A$90*(0.01*$B$62))</f>
        <v>-249.75</v>
      </c>
      <c r="B103" s="47">
        <f>IF(B50=0,0,(B50+(B20*($B$61*0.02))+B35-B136)/(1+($G$7/100)))</f>
        <v>-720.4466019417475</v>
      </c>
      <c r="C103" s="47">
        <f>IF(C50=0,0,(C50+(C20*($B$61*0.02))+C35-C136)/(1+($G$7/100))^2)</f>
        <v>-18.899047978131758</v>
      </c>
      <c r="D103" s="47">
        <f>IF(D50=0,0,(D50+(D20*($B$61*0.02))+D35-D136)/(1+($G$7/100))^3)</f>
        <v>2.690516478498287</v>
      </c>
      <c r="E103" s="47">
        <f>IF(E50=0,0,(E50+(E20*($B$61*0.02))+E35-E136)/(1+($G$7/100))^4)</f>
        <v>199.90958578103002</v>
      </c>
      <c r="F103" s="47">
        <f>IF(F50=0,0,(F50+(F20*($B$61*0.02))+F35-F136)/(1+($G$7/100))^5)</f>
        <v>213.06436974288854</v>
      </c>
      <c r="G103" s="47">
        <f>IF(G50=0,0,(G50+(G20*($B$61*0.02))+G35-G136)/(1+($G$7/100))^6)</f>
        <v>206.85861140086263</v>
      </c>
      <c r="H103" s="47">
        <f>IF(H50=0,0,(H50+(H20*($B$61*0.02))+H35-H136)/(1+($G$7/100))^7)</f>
        <v>219.5347080627055</v>
      </c>
      <c r="I103" s="47">
        <f>IF(I50=0,0,(I50+(I20*($B$61*0.02))+I35-I136)/(1+($G$7/100))^8)</f>
        <v>894.0059578605322</v>
      </c>
      <c r="J103" s="48">
        <f>+AVERAGE($B$20:$I$20)*(1-(0.02*$B$61))</f>
        <v>520</v>
      </c>
      <c r="K103" s="49">
        <f>+$A$134</f>
        <v>832.5</v>
      </c>
      <c r="L103" s="47">
        <f aca="true" t="shared" si="4" ref="L103:L126">+SUM(A103:I103)</f>
        <v>746.9680994066379</v>
      </c>
    </row>
    <row r="104" spans="1:12" ht="12.75" hidden="1">
      <c r="A104" s="47">
        <f>+$A$90-($A$90*(0*$B$62))</f>
        <v>-277.5</v>
      </c>
      <c r="B104" s="47">
        <f>IF(B50=0,0,(B50+(B20*($B$61*0.02)))/(1+($G$7/100)))</f>
        <v>-744.4077669902913</v>
      </c>
      <c r="C104" s="47">
        <f>IF(C50=0,0,(C50+(C20*($B$61*0.02)))/(1+($G$7/100))^2)</f>
        <v>-42.16231501555283</v>
      </c>
      <c r="D104" s="47">
        <f>IF(D50=0,0,(D50+(D20*($B$61*0.02)))/(1+($G$7/100))^3)</f>
        <v>-19.886028257744176</v>
      </c>
      <c r="E104" s="47">
        <f>IF(E50=0,0,(E50+(E20*($B$61*0.02)))/(1+($G$7/100))^4)</f>
        <v>199.90958578103002</v>
      </c>
      <c r="F104" s="47">
        <f>IF(F50=0,0,(F50+(F20*($B$61*0.02)))/(1+($G$7/100))^5)</f>
        <v>213.06436974288854</v>
      </c>
      <c r="G104" s="47">
        <f>IF(G50=0,0,(G50+(G20*($B$61*0.02)))/(1+($G$7/100))^6)</f>
        <v>206.85861140086263</v>
      </c>
      <c r="H104" s="47">
        <f>IF(H50=0,0,(H50+(H20*($B$61*0.02)))/(1+($G$7/100))^7)</f>
        <v>219.5347080627055</v>
      </c>
      <c r="I104" s="47">
        <f>IF(I50=0,0,(I50+(I20*($B$61*0.02)))/(1+($G$7/100))^8)</f>
        <v>894.0059578605322</v>
      </c>
      <c r="J104" s="48">
        <f>+AVERAGE($B$20:$I$20)*(1-(0.02*$B$61))</f>
        <v>520</v>
      </c>
      <c r="K104" s="49">
        <f>+$B$7</f>
        <v>925</v>
      </c>
      <c r="L104" s="47">
        <f t="shared" si="4"/>
        <v>649.4171225844307</v>
      </c>
    </row>
    <row r="105" spans="1:12" ht="12.75" hidden="1">
      <c r="A105" s="47">
        <f>+$A$90+($A$90*(0.01*$B$62))</f>
        <v>-305.25</v>
      </c>
      <c r="B105" s="47">
        <f>IF(B50=0,0,(B50+(B20*($B$61*0.02))+B35-B141)/(1+($G$7/100)))</f>
        <v>-768.3592233009709</v>
      </c>
      <c r="C105" s="47">
        <f>IF(C50=0,0,(C50+(C20*($B$61*0.02))+C35-C141)/(1+($G$7/100))^2)</f>
        <v>-65.41615609388259</v>
      </c>
      <c r="D105" s="47">
        <f>IF(D50=0,0,(D50+(D20*($B$61*0.02))+D35-D141)/(1+($G$7/100))^3)</f>
        <v>-42.47172441058016</v>
      </c>
      <c r="E105" s="47">
        <f>IF(E50=0,0,(E50+(E20*($B$61*0.02))+E35-E141)/(1+($G$7/100))^4)</f>
        <v>199.90958578103002</v>
      </c>
      <c r="F105" s="47">
        <f>IF(F50=0,0,(F50+(F20*($B$61*0.02))+F35-F141)/(1+($G$7/100))^5)</f>
        <v>213.06436974288854</v>
      </c>
      <c r="G105" s="47">
        <f>IF(G50=0,0,(G50+(G20*($B$61*0.02))+G35-G141)/(1+($G$7/100))^6)</f>
        <v>206.85861140086263</v>
      </c>
      <c r="H105" s="47">
        <f>IF(H50=0,0,(H50+(H20*($B$61*0.02))+H35-H141)/(1+($G$7/100))^7)</f>
        <v>219.5347080627055</v>
      </c>
      <c r="I105" s="47">
        <f>IF(I50=0,0,(I50+(I20*($B$61*0.02))+I35-I141)/(1+($G$7/100))^8)</f>
        <v>894.0059578605322</v>
      </c>
      <c r="J105" s="48">
        <f>+AVERAGE($B$20:$I$20)*(1-(0.02*$B$61))</f>
        <v>520</v>
      </c>
      <c r="K105" s="49">
        <f>+$A$139</f>
        <v>1017.5000000000001</v>
      </c>
      <c r="L105" s="47">
        <f t="shared" si="4"/>
        <v>551.8761290425853</v>
      </c>
    </row>
    <row r="106" spans="1:12" ht="12.75" hidden="1">
      <c r="A106" s="47">
        <f>+$A$90+($A$90*(0.02*$B$62))</f>
        <v>-333</v>
      </c>
      <c r="B106" s="47">
        <f>IF(B50=0,0,(B50+(B20*($B$61*0.02))+B35-B146)/(1+($G$7/100)))</f>
        <v>-792.3106796116504</v>
      </c>
      <c r="C106" s="47">
        <f>IF(C50=0,0,(C50+(C20*($B$61*0.02))+C35-C146)/(1+($G$7/100))^2)</f>
        <v>-88.67942313130365</v>
      </c>
      <c r="D106" s="47">
        <f>IF(D50=0,0,(D50+(D20*($B$61*0.02))+D35-D146)/(1+($G$7/100))^3)</f>
        <v>-65.04826914682256</v>
      </c>
      <c r="E106" s="47">
        <f>IF(E50=0,0,(E50+(E20*($B$61*0.02))+E35-E146)/(1+($G$7/100))^4)</f>
        <v>199.90958578103002</v>
      </c>
      <c r="F106" s="47">
        <f>IF(F50=0,0,(F50+(F20*($B$61*0.02))+F35-F146)/(1+($G$7/100))^5)</f>
        <v>213.06436974288854</v>
      </c>
      <c r="G106" s="47">
        <f>IF(G50=0,0,(G50+(G20*($B$61*0.02))+G35-G146)/(1+($G$7/100))^6)</f>
        <v>206.85861140086263</v>
      </c>
      <c r="H106" s="47">
        <f>IF(H50=0,0,(H50+(H20*($B$61*0.02))+H35-H146)/(1+($G$7/100))^7)</f>
        <v>219.5347080627055</v>
      </c>
      <c r="I106" s="47">
        <f>IF(I50=0,0,(I50+(I20*($B$61*0.02))+I35-I146)/(1+($G$7/100))^8)</f>
        <v>894.0059578605322</v>
      </c>
      <c r="J106" s="48">
        <f>+AVERAGE($B$20:$I$20)*(1-(0.02*$B$61))</f>
        <v>520</v>
      </c>
      <c r="K106" s="49">
        <f>+$A$144</f>
        <v>1110</v>
      </c>
      <c r="L106" s="47">
        <f t="shared" si="4"/>
        <v>454.3348609582424</v>
      </c>
    </row>
    <row r="107" spans="1:12" ht="12.75" hidden="1">
      <c r="A107" s="47">
        <f>+$A$90-($A$90*(0.02*$B$62))</f>
        <v>-222</v>
      </c>
      <c r="B107" s="47">
        <f>IF(B50=0,0,(B50+(B20*$B$61*0.01)+B35-B131)/(1+($G$7/100)))</f>
        <v>-759.5922330097087</v>
      </c>
      <c r="C107" s="47">
        <f>IF(C50=0,0,(C50+(C20*$B$61*0.01)+C35-C131)/(1+($G$7/100))^2)</f>
        <v>-56.913940993496084</v>
      </c>
      <c r="D107" s="47">
        <f>IF(D50=0,0,(D50+(D20*$B$61*0.01)+D35-D131)/(1+($G$7/100))^3)</f>
        <v>-34.2079952266211</v>
      </c>
      <c r="E107" s="47">
        <f>IF(E50=0,0,(E50+(E20*$B$61*0.01)+E35-E131)/(1+($G$7/100))^4)</f>
        <v>142.15792766651023</v>
      </c>
      <c r="F107" s="47">
        <f>IF(F50=0,0,(F50+(F20*$B$61*0.01)+F35-F131)/(1+($G$7/100))^5)</f>
        <v>156.99479875791786</v>
      </c>
      <c r="G107" s="47">
        <f>IF(G50=0,0,(G50+(G20*$B$61*0.01)+G35-G131)/(1+($G$7/100))^6)</f>
        <v>152.4221347164251</v>
      </c>
      <c r="H107" s="47">
        <f>IF(H50=0,0,(H50+(H20*$B$61*0.01)+H35-H131)/(1+($G$7/100))^7)</f>
        <v>166.6837598253875</v>
      </c>
      <c r="I107" s="47">
        <f>IF(I50=0,0,(I50+(I20*$B$61*0.01)+I35-I131)/(1+($G$7/100))^8)</f>
        <v>842.6943576301264</v>
      </c>
      <c r="J107" s="48">
        <f>+AVERAGE($B$20:$I$20)*(1-(0.01*$B$61))</f>
        <v>585</v>
      </c>
      <c r="K107" s="49">
        <f>+$A$129</f>
        <v>740</v>
      </c>
      <c r="L107" s="47">
        <f t="shared" si="4"/>
        <v>388.2388093665412</v>
      </c>
    </row>
    <row r="108" spans="1:12" ht="12.75" hidden="1">
      <c r="A108" s="47">
        <f>+$A$90-($A$90*(0.01*$B$62))</f>
        <v>-249.75</v>
      </c>
      <c r="B108" s="47">
        <f>IF(B50=0,0,(B50+(B20*$B$61*0.01)+B35-B136)/(1+($G$7/100)))</f>
        <v>-783.5533980582524</v>
      </c>
      <c r="C108" s="47">
        <f>IF(C50=0,0,(C50+(C20*$B$61*0.01)+C35-C136)/(1+($G$7/100))^2)</f>
        <v>-80.1677820718258</v>
      </c>
      <c r="D108" s="47">
        <f>IF(D50=0,0,(D50+(D20*$B$61*0.01)+D35-D136)/(1+($G$7/100))^3)</f>
        <v>-56.79369137945709</v>
      </c>
      <c r="E108" s="47">
        <f>IF(E50=0,0,(E50+(E20*$B$61*0.01)+E35-E136)/(1+($G$7/100))^4)</f>
        <v>142.15792766651023</v>
      </c>
      <c r="F108" s="47">
        <f>IF(F50=0,0,(F50+(F20*$B$61*0.01)+F35-F136)/(1+($G$7/100))^5)</f>
        <v>156.99479875791786</v>
      </c>
      <c r="G108" s="47">
        <f>IF(G50=0,0,(G50+(G20*$B$61*0.01)+G35-G136)/(1+($G$7/100))^6)</f>
        <v>152.4221347164251</v>
      </c>
      <c r="H108" s="47">
        <f>IF(H50=0,0,(H50+(H20*$B$61*0.01)+H35-H136)/(1+($G$7/100))^7)</f>
        <v>166.6837598253875</v>
      </c>
      <c r="I108" s="47">
        <f>IF(I50=0,0,(I50+(I20*$B$61*0.01)+I35-I136)/(1+($G$7/100))^8)</f>
        <v>842.6943576301264</v>
      </c>
      <c r="J108" s="48">
        <f>+AVERAGE($B$20:$I$20)*(1-(0.01*$B$61))</f>
        <v>585</v>
      </c>
      <c r="K108" s="49">
        <f>+$A$134</f>
        <v>832.5</v>
      </c>
      <c r="L108" s="47">
        <f t="shared" si="4"/>
        <v>290.6881070868318</v>
      </c>
    </row>
    <row r="109" spans="1:12" ht="12.75" hidden="1">
      <c r="A109" s="47">
        <f>+$A$90-($A$90*(0*$B$62))</f>
        <v>-277.5</v>
      </c>
      <c r="B109" s="47">
        <f>IF(B50=0,0,(B50+(B20*($B$61*0.01)))/(1+($G$7/100)))</f>
        <v>-807.5145631067961</v>
      </c>
      <c r="C109" s="47">
        <f>IF(C50=0,0,(C50+(C20*($B$61*0.01)))/(1+($G$7/100))^2)</f>
        <v>-103.43104910924686</v>
      </c>
      <c r="D109" s="47">
        <f>IF(D50=0,0,(D50+(D20*($B$61*0.01)))/(1+($G$7/100))^3)</f>
        <v>-79.37023611569954</v>
      </c>
      <c r="E109" s="47">
        <f>IF(E50=0,0,(E50+(E20*($B$61*0.01)))/(1+($G$7/100))^4)</f>
        <v>142.15792766651023</v>
      </c>
      <c r="F109" s="47">
        <f>IF(F50=0,0,(F50+(F20*($B$61*0.01)))/(1+($G$7/100))^5)</f>
        <v>156.99479875791786</v>
      </c>
      <c r="G109" s="47">
        <f>IF(G50=0,0,(G50+(G20*($B$61*0.01)))/(1+($G$7/100))^6)</f>
        <v>152.4221347164251</v>
      </c>
      <c r="H109" s="47">
        <f>IF(H50=0,0,(H50+(H20*($B$61*0.01)))/(1+($G$7/100))^7)</f>
        <v>166.6837598253875</v>
      </c>
      <c r="I109" s="47">
        <f>IF(I50=0,0,(I50+(I20*($B$61*0.01)))/(1+($G$7/100))^8)</f>
        <v>842.6943576301264</v>
      </c>
      <c r="J109" s="48">
        <f>+AVERAGE($B$20:$I$20)*(1-(0.01*$B$61))</f>
        <v>585</v>
      </c>
      <c r="K109" s="49">
        <f>+$B$7</f>
        <v>925</v>
      </c>
      <c r="L109" s="47">
        <f t="shared" si="4"/>
        <v>193.13713026462426</v>
      </c>
    </row>
    <row r="110" spans="1:12" ht="12.75" hidden="1">
      <c r="A110" s="47">
        <f>+$A$90+($A$90*(0.01*$B$62))</f>
        <v>-305.25</v>
      </c>
      <c r="B110" s="47">
        <f>IF(B50=0,0,(B50+(B20*$B$61*0.01)+B35-B141)/(1+($G$7/100)))</f>
        <v>-831.4660194174758</v>
      </c>
      <c r="C110" s="47">
        <f>IF(C50=0,0,(C50+(C20*$B$61*0.01)+C35-C141)/(1+($G$7/100))^2)</f>
        <v>-126.68489018757663</v>
      </c>
      <c r="D110" s="47">
        <f>IF(D50=0,0,(D50+(D20*$B$61*0.01)+D35-D141)/(1+($G$7/100))^3)</f>
        <v>-101.95593226853553</v>
      </c>
      <c r="E110" s="47">
        <f>IF(E50=0,0,(E50+(E20*$B$61*0.01)+E35-E141)/(1+($G$7/100))^4)</f>
        <v>142.15792766651023</v>
      </c>
      <c r="F110" s="47">
        <f>IF(F50=0,0,(F50+(F20*$B$61*0.01)+F35-F141)/(1+($G$7/100))^5)</f>
        <v>156.99479875791786</v>
      </c>
      <c r="G110" s="47">
        <f>IF(G50=0,0,(G50+(G20*$B$61*0.01)+G35-G141)/(1+($G$7/100))^6)</f>
        <v>152.4221347164251</v>
      </c>
      <c r="H110" s="47">
        <f>IF(H50=0,0,(H50+(H20*$B$61*0.01)+H35-H141)/(1+($G$7/100))^7)</f>
        <v>166.6837598253875</v>
      </c>
      <c r="I110" s="47">
        <f>IF(I50=0,0,(I50+(I20*$B$61*0.01)+I35-I141)/(1+($G$7/100))^8)</f>
        <v>842.6943576301264</v>
      </c>
      <c r="J110" s="48">
        <f>+AVERAGE($B$20:$I$20)*(1-(0.01*$B$61))</f>
        <v>585</v>
      </c>
      <c r="K110" s="49">
        <f>+$A$139</f>
        <v>1017.5000000000001</v>
      </c>
      <c r="L110" s="47">
        <f t="shared" si="4"/>
        <v>95.59613672277908</v>
      </c>
    </row>
    <row r="111" spans="1:12" ht="12.75" hidden="1">
      <c r="A111" s="47">
        <f>+$A$90+($A$90*(0.02*$B$62))</f>
        <v>-333</v>
      </c>
      <c r="B111" s="47">
        <f>IF(B50=0,0,(B50+(B20*$B$61*0.01)+B35-B146)/(1+($G$7/100)))</f>
        <v>-855.4174757281553</v>
      </c>
      <c r="C111" s="47">
        <f>IF(C50=0,0,(C50+(C20*$B$61*0.01)+C35-C146)/(1+($G$7/100))^2)</f>
        <v>-149.9481572249977</v>
      </c>
      <c r="D111" s="47">
        <f>IF(D50=0,0,(D50+(D20*$B$61*0.01)+D35-D146)/(1+($G$7/100))^3)</f>
        <v>-124.53247700477795</v>
      </c>
      <c r="E111" s="47">
        <f>IF(E50=0,0,(E50+(E20*$B$61*0.01)+E35-E146)/(1+($G$7/100))^4)</f>
        <v>142.15792766651023</v>
      </c>
      <c r="F111" s="47">
        <f>IF(F50=0,0,(F50+(F20*$B$61*0.01)+F35-F146)/(1+($G$7/100))^5)</f>
        <v>156.99479875791786</v>
      </c>
      <c r="G111" s="47">
        <f>IF(G50=0,0,(G50+(G20*$B$61*0.01)+G35-G146)/(1+($G$7/100))^6)</f>
        <v>152.4221347164251</v>
      </c>
      <c r="H111" s="47">
        <f>IF(H50=0,0,(H50+(H20*$B$61*0.01)+H35-H146)/(1+($G$7/100))^7)</f>
        <v>166.6837598253875</v>
      </c>
      <c r="I111" s="47">
        <f>IF(I50=0,0,(I50+(I20*$B$61*0.01)+I35-I146)/(1+($G$7/100))^8)</f>
        <v>842.6943576301264</v>
      </c>
      <c r="J111" s="48">
        <f>+AVERAGE($B$20:$I$20)*(1-(0.01*$B$61))</f>
        <v>585</v>
      </c>
      <c r="K111" s="49">
        <f>+$A$144</f>
        <v>1110</v>
      </c>
      <c r="L111" s="47">
        <f t="shared" si="4"/>
        <v>-1.9451313615639947</v>
      </c>
    </row>
    <row r="112" spans="1:12" ht="12.75" hidden="1">
      <c r="A112" s="47">
        <f>+$A$90-($A$90*(0.02*$B$62))</f>
        <v>-222</v>
      </c>
      <c r="B112" s="47">
        <f>IF(B50=0,0,(B50+(B20*($B$61*0))+B35-B131)/(1+($G$7/100)))</f>
        <v>-822.6990291262135</v>
      </c>
      <c r="C112" s="47">
        <f>IF(C50=0,0,(C50+(C20*($B$61*0))+C35-C131)/(1+($G$7/100))^2)</f>
        <v>-118.18267508719012</v>
      </c>
      <c r="D112" s="47">
        <f>IF(D50=0,0,(D50+(D20*($B$61*0))+D35-D131)/(1+($G$7/100))^3)</f>
        <v>-93.69220308457648</v>
      </c>
      <c r="E112" s="47">
        <f>IF(E50=0,0,(E50+(E20*($B$61*0))+E35-E131)/(1+($G$7/100))^4)</f>
        <v>84.40626955199045</v>
      </c>
      <c r="F112" s="47">
        <f>IF(F50=0,0,(F50+(F20*($B$61*0))+F35-F131)/(1+($G$7/100))^5)</f>
        <v>100.9252277729472</v>
      </c>
      <c r="G112" s="47">
        <f>IF(G50=0,0,(G50+(G20*($B$61*0))+G35-G131)/(1+($G$7/100))^6)</f>
        <v>97.98565803198757</v>
      </c>
      <c r="H112" s="47">
        <f>IF(H50=0,0,(H50+(H20*($B$61*0))+H35-H131)/(1+($G$7/100))^7)</f>
        <v>113.83281158806953</v>
      </c>
      <c r="I112" s="47">
        <f>IF(I50=0,0,(I50+(I20*($B$61*0))+I35-I131)/(1+($G$7/100))^8)</f>
        <v>791.3827573997206</v>
      </c>
      <c r="J112" s="48">
        <f>+AVERAGE($B$20:$I$20)</f>
        <v>650</v>
      </c>
      <c r="K112" s="49">
        <f>+$A$129</f>
        <v>740</v>
      </c>
      <c r="L112" s="47">
        <f t="shared" si="4"/>
        <v>-68.04118295326498</v>
      </c>
    </row>
    <row r="113" spans="1:12" ht="12.75" hidden="1">
      <c r="A113" s="47">
        <f>+$A$90-($A$90*(0.01*$B$62))</f>
        <v>-249.75</v>
      </c>
      <c r="B113" s="47">
        <f>IF(B50=0,0,(B50+(B20*($B$61*0))+B35-B136)/(1+($G$7/100)))</f>
        <v>-846.6601941747572</v>
      </c>
      <c r="C113" s="47">
        <f>IF(C50=0,0,(C50+(C20*($B$61*0))+C35-C136)/(1+($G$7/100))^2)</f>
        <v>-141.43651616551983</v>
      </c>
      <c r="D113" s="47">
        <f>IF(D50=0,0,(D50+(D20*($B$61*0))+D35-D136)/(1+($G$7/100))^3)</f>
        <v>-116.27789923741246</v>
      </c>
      <c r="E113" s="47">
        <f>IF(E50=0,0,(E50+(E20*($B$61*0))+E35-E136)/(1+($G$7/100))^4)</f>
        <v>84.40626955199045</v>
      </c>
      <c r="F113" s="47">
        <f>IF(F50=0,0,(F50+(F20*($B$61*0))+F35-F136)/(1+($G$7/100))^5)</f>
        <v>100.9252277729472</v>
      </c>
      <c r="G113" s="47">
        <f>IF(G50=0,0,(G50+(G20*($B$61*0))+G35-G136)/(1+($G$7/100))^6)</f>
        <v>97.98565803198757</v>
      </c>
      <c r="H113" s="47">
        <f>IF(H50=0,0,(H50+(H20*($B$61*0))+H35-H136)/(1+($G$7/100))^7)</f>
        <v>113.83281158806953</v>
      </c>
      <c r="I113" s="47">
        <f>IF(I50=0,0,(I50+(I20*($B$61*0))+I35-I136)/(1+($G$7/100))^8)</f>
        <v>791.3827573997206</v>
      </c>
      <c r="J113" s="48">
        <f>+AVERAGE($B$20:$I$20)</f>
        <v>650</v>
      </c>
      <c r="K113" s="49">
        <f>+$A$134</f>
        <v>832.5</v>
      </c>
      <c r="L113" s="47">
        <f t="shared" si="4"/>
        <v>-165.59188523297405</v>
      </c>
    </row>
    <row r="114" spans="1:13" ht="12.75" hidden="1">
      <c r="A114" s="50">
        <f>+$A$90-($A$90*(0*$B$62))</f>
        <v>-277.5</v>
      </c>
      <c r="B114" s="50">
        <f aca="true" t="shared" si="5" ref="B114:I114">+B90</f>
        <v>-870.6213592233009</v>
      </c>
      <c r="C114" s="50">
        <f t="shared" si="5"/>
        <v>-164.6997832029409</v>
      </c>
      <c r="D114" s="50">
        <f t="shared" si="5"/>
        <v>-138.85444397365492</v>
      </c>
      <c r="E114" s="50">
        <f t="shared" si="5"/>
        <v>84.40626955199045</v>
      </c>
      <c r="F114" s="50">
        <f t="shared" si="5"/>
        <v>100.9252277729472</v>
      </c>
      <c r="G114" s="50">
        <f t="shared" si="5"/>
        <v>97.98565803198757</v>
      </c>
      <c r="H114" s="50">
        <f t="shared" si="5"/>
        <v>113.83281158806953</v>
      </c>
      <c r="I114" s="50">
        <f t="shared" si="5"/>
        <v>791.3827573997206</v>
      </c>
      <c r="J114" s="51">
        <f>+AVERAGE($B$20:$I$20)</f>
        <v>650</v>
      </c>
      <c r="K114" s="52">
        <f>+$B$7</f>
        <v>925</v>
      </c>
      <c r="L114" s="50">
        <f t="shared" si="4"/>
        <v>-263.14286205518135</v>
      </c>
      <c r="M114" s="4" t="s">
        <v>43</v>
      </c>
    </row>
    <row r="115" spans="1:12" ht="12.75" hidden="1">
      <c r="A115" s="47">
        <f>+$A$90+($A$90*(0.01*$B$62))</f>
        <v>-305.25</v>
      </c>
      <c r="B115" s="47">
        <f>IF(B50=0,0,(B50+(B20*($B$61*0))+B35-B141)/(1+($G$7/100)))</f>
        <v>-894.5728155339806</v>
      </c>
      <c r="C115" s="47">
        <f>IF(C50=0,0,(C50+(C20*($B$61*0))+C35-C141)/(1+($G$7/100))^2)</f>
        <v>-187.95362428127066</v>
      </c>
      <c r="D115" s="47">
        <f>IF(D50=0,0,(D50+(D20*($B$61*0))+D35-D141)/(1+($G$7/100))^3)</f>
        <v>-161.4401401264909</v>
      </c>
      <c r="E115" s="47">
        <f>IF(E50=0,0,(E50+(E20*($B$61*0))+E35-E141)/(1+($G$7/100))^4)</f>
        <v>84.40626955199045</v>
      </c>
      <c r="F115" s="47">
        <f>IF(F50=0,0,(F50+(F20*($B$61*0))+F35-F141)/(1+($G$7/100))^5)</f>
        <v>100.9252277729472</v>
      </c>
      <c r="G115" s="47">
        <f>IF(G50=0,0,(G50+(G20*($B$61*0))+G35-G141)/(1+($G$7/100))^6)</f>
        <v>97.98565803198757</v>
      </c>
      <c r="H115" s="47">
        <f>IF(H50=0,0,(H50+(H20*($B$61*0))+H35-H141)/(1+($G$7/100))^7)</f>
        <v>113.83281158806953</v>
      </c>
      <c r="I115" s="47">
        <f>IF(I50=0,0,(I50+(I20*($B$61*0))+I35-I141)/(1+($G$7/100))^8)</f>
        <v>791.3827573997206</v>
      </c>
      <c r="J115" s="48">
        <f>+AVERAGE($B$20:$I$20)</f>
        <v>650</v>
      </c>
      <c r="K115" s="49">
        <f>+$A$139</f>
        <v>1017.5000000000001</v>
      </c>
      <c r="L115" s="47">
        <f t="shared" si="4"/>
        <v>-360.68385559702676</v>
      </c>
    </row>
    <row r="116" spans="1:12" ht="12.75" hidden="1">
      <c r="A116" s="47">
        <f>+$A$90+($A$90*(0.02*$B$62))</f>
        <v>-333</v>
      </c>
      <c r="B116" s="47">
        <f>IF(B50=0,0,(B50+(B20*($B$61*0))+B35-B146)/(1+($G$7/100)))</f>
        <v>-918.5242718446601</v>
      </c>
      <c r="C116" s="47">
        <f>IF(C50=0,0,(C50+(C20*($B$61*0))+C35-C146)/(1+($G$7/100))^2)</f>
        <v>-211.21689131869172</v>
      </c>
      <c r="D116" s="47">
        <f>IF(D50=0,0,(D50+(D20*($B$61*0))+D35-D146)/(1+($G$7/100))^3)</f>
        <v>-184.0166848627333</v>
      </c>
      <c r="E116" s="47">
        <f>IF(E50=0,0,(E50+(E20*($B$61*0))+E35-E146)/(1+($G$7/100))^4)</f>
        <v>84.40626955199045</v>
      </c>
      <c r="F116" s="47">
        <f>IF(F50=0,0,(F50+(F20*($B$61*0))+F35-F146)/(1+($G$7/100))^5)</f>
        <v>100.9252277729472</v>
      </c>
      <c r="G116" s="47">
        <f>IF(G50=0,0,(G50+(G20*($B$61*0))+G35-G146)/(1+($G$7/100))^6)</f>
        <v>97.98565803198757</v>
      </c>
      <c r="H116" s="47">
        <f>IF(H50=0,0,(H50+(H20*($B$61*0))+H35-H146)/(1+($G$7/100))^7)</f>
        <v>113.83281158806953</v>
      </c>
      <c r="I116" s="47">
        <f>IF(I50=0,0,(I50+(I20*($B$61*0))+I35-I146)/(1+($G$7/100))^8)</f>
        <v>791.3827573997206</v>
      </c>
      <c r="J116" s="48">
        <f>+AVERAGE($B$20:$I$20)</f>
        <v>650</v>
      </c>
      <c r="K116" s="49">
        <f>+$A$144</f>
        <v>1110</v>
      </c>
      <c r="L116" s="47">
        <f t="shared" si="4"/>
        <v>-458.22512368137006</v>
      </c>
    </row>
    <row r="117" spans="1:12" ht="12.75" hidden="1">
      <c r="A117" s="47">
        <f>+$A$90-($A$90*(0.02*$B$62))</f>
        <v>-222</v>
      </c>
      <c r="B117" s="47">
        <f>IF(B50=0,0,(B50-(B20*$B$61*0.01)+B35-B131)/(1+($G$7/100)))</f>
        <v>-885.8058252427185</v>
      </c>
      <c r="C117" s="47">
        <f>IF(C50=0,0,(C50-(C20*$B$61*0.01)+C35-C131)/(1+($G$7/100))^2)</f>
        <v>-179.45140918088416</v>
      </c>
      <c r="D117" s="47">
        <f>IF(D50=0,0,(D50-(D20*$B$61*0.01)+D35-D131)/(1+($G$7/100))^3)</f>
        <v>-153.17641094253185</v>
      </c>
      <c r="E117" s="47">
        <f>IF(E50=0,0,(E50-(E20*$B$61*0.01)+E35-E131)/(1+($G$7/100))^4)</f>
        <v>26.65461143747067</v>
      </c>
      <c r="F117" s="47">
        <f>IF(F50=0,0,(F50-(F20*$B$61*0.01)+F35-F131)/(1+($G$7/100))^5)</f>
        <v>44.855656787976535</v>
      </c>
      <c r="G117" s="47">
        <f>IF(G50=0,0,(G50-(G20*$B$61*0.01)+G35-G131)/(1+($G$7/100))^6)</f>
        <v>43.54918134755003</v>
      </c>
      <c r="H117" s="47">
        <f>IF(H50=0,0,(H50-(H20*$B$61*0.01)+H35-H131)/(1+($G$7/100))^7)</f>
        <v>60.98186335075153</v>
      </c>
      <c r="I117" s="47">
        <f>IF(I50=0,0,(I50-(I20*$B$61*0.01)+I35-I131)/(1+($G$7/100))^8)</f>
        <v>740.0711571693148</v>
      </c>
      <c r="J117" s="48">
        <f>+AVERAGE($B$20:$I$20)*(1+(0.01*$B$61))</f>
        <v>715.0000000000001</v>
      </c>
      <c r="K117" s="49">
        <f>+$A$129</f>
        <v>740</v>
      </c>
      <c r="L117" s="47">
        <f t="shared" si="4"/>
        <v>-524.3211752730708</v>
      </c>
    </row>
    <row r="118" spans="1:12" ht="12.75" hidden="1">
      <c r="A118" s="47">
        <f>+$A$90-($A$90*(0.01*$B$62))</f>
        <v>-249.75</v>
      </c>
      <c r="B118" s="47">
        <f>IF(B50=0,0,(B50-(B20*$B$61*0.01)+B35-B136)/(1+($G$7/100)))</f>
        <v>-909.766990291262</v>
      </c>
      <c r="C118" s="47">
        <f>IF(C50=0,0,(C50-(C20*$B$61*0.01)+C35-C136)/(1+($G$7/100))^2)</f>
        <v>-202.70525025921387</v>
      </c>
      <c r="D118" s="47">
        <f>IF(D50=0,0,(D50-(D20*$B$61*0.01)+D35-D136)/(1+($G$7/100))^3)</f>
        <v>-175.76210709536784</v>
      </c>
      <c r="E118" s="47">
        <f>IF(E50=0,0,(E50-(E20*$B$61*0.01)+E35-E136)/(1+($G$7/100))^4)</f>
        <v>26.65461143747067</v>
      </c>
      <c r="F118" s="47">
        <f>IF(F50=0,0,(F50-(F20*$B$61*0.01)+F35-F136)/(1+($G$7/100))^5)</f>
        <v>44.855656787976535</v>
      </c>
      <c r="G118" s="47">
        <f>IF(G50=0,0,(G50-(G20*$B$61*0.01)+G35-G136)/(1+($G$7/100))^6)</f>
        <v>43.54918134755003</v>
      </c>
      <c r="H118" s="47">
        <f>IF(H50=0,0,(H50-(H20*$B$61*0.01)+H35-H136)/(1+($G$7/100))^7)</f>
        <v>60.98186335075153</v>
      </c>
      <c r="I118" s="47">
        <f>IF(I50=0,0,(I50-(I20*$B$61*0.01)+I35-I136)/(1+($G$7/100))^8)</f>
        <v>740.0711571693148</v>
      </c>
      <c r="J118" s="48">
        <f>+AVERAGE($B$20:$I$20)*(1+(0.01*$B$61))</f>
        <v>715.0000000000001</v>
      </c>
      <c r="K118" s="49">
        <f>+$A$134</f>
        <v>832.5</v>
      </c>
      <c r="L118" s="47">
        <f t="shared" si="4"/>
        <v>-621.87187755278</v>
      </c>
    </row>
    <row r="119" spans="1:12" ht="12.75" hidden="1">
      <c r="A119" s="47">
        <f>+$A$90-($A$90*(0*$B$62))</f>
        <v>-277.5</v>
      </c>
      <c r="B119" s="47">
        <f>IF(B50=0,0,(B50-(B20*($B$61*0.01)))/(1+($G$7/100)))</f>
        <v>-933.7281553398058</v>
      </c>
      <c r="C119" s="47">
        <f>IF(C50=0,0,(C50-(C20*($B$61*0.01)))/(1+($G$7/100))^2)</f>
        <v>-225.96851729663493</v>
      </c>
      <c r="D119" s="47">
        <f>IF(D50=0,0,(D50-(D20*($B$61*0.01)))/(1+($G$7/100))^3)</f>
        <v>-198.3386518316103</v>
      </c>
      <c r="E119" s="47">
        <f>IF(E50=0,0,(E50-(E20*($B$61*0.01)))/(1+($G$7/100))^4)</f>
        <v>26.65461143747067</v>
      </c>
      <c r="F119" s="47">
        <f>IF(F50=0,0,(F50-(F20*($B$61*0.01)))/(1+($G$7/100))^5)</f>
        <v>44.855656787976535</v>
      </c>
      <c r="G119" s="47">
        <f>IF(G50=0,0,(G50-(G20*($B$61*0.01)))/(1+($G$7/100))^6)</f>
        <v>43.54918134755003</v>
      </c>
      <c r="H119" s="47">
        <f>IF(H50=0,0,(H50-(H20*($B$61*0.01)))/(1+($G$7/100))^7)</f>
        <v>60.98186335075153</v>
      </c>
      <c r="I119" s="47">
        <f>IF(I50=0,0,(I50-(I20*($B$61*0.01)))/(1+($G$7/100))^8)</f>
        <v>740.0711571693148</v>
      </c>
      <c r="J119" s="48">
        <f>+AVERAGE($B$20:$I$20)*(1+(0.01*$B$61))</f>
        <v>715.0000000000001</v>
      </c>
      <c r="K119" s="49">
        <f>+$B$7</f>
        <v>925</v>
      </c>
      <c r="L119" s="47">
        <f t="shared" si="4"/>
        <v>-719.4228543749871</v>
      </c>
    </row>
    <row r="120" spans="1:12" ht="12.75" hidden="1">
      <c r="A120" s="47">
        <f>+$A$90+($A$90*(0.01*$B$62))</f>
        <v>-305.25</v>
      </c>
      <c r="B120" s="47">
        <f>IF(B50=0,0,(B50-(B20*$B$61*0.01)+B35-B141)/(1+($G$7/100)))</f>
        <v>-957.6796116504855</v>
      </c>
      <c r="C120" s="47">
        <f>IF(C50=0,0,(C50-(C20*$B$61*0.01)+C35-C141)/(1+($G$7/100))^2)</f>
        <v>-249.2223583749647</v>
      </c>
      <c r="D120" s="47">
        <f>IF(D50=0,0,(D50-(D20*$B$61*0.01)+D35-D141)/(1+($G$7/100))^3)</f>
        <v>-220.92434798444629</v>
      </c>
      <c r="E120" s="47">
        <f>IF(E50=0,0,(E50-(E20*$B$61*0.01)+E35-E141)/(1+($G$7/100))^4)</f>
        <v>26.65461143747067</v>
      </c>
      <c r="F120" s="47">
        <f>IF(F50=0,0,(F50-(F20*$B$61*0.01)+F35-F141)/(1+($G$7/100))^5)</f>
        <v>44.855656787976535</v>
      </c>
      <c r="G120" s="47">
        <f>IF(G50=0,0,(G50-(G20*$B$61*0.01)+G35-G141)/(1+($G$7/100))^6)</f>
        <v>43.54918134755003</v>
      </c>
      <c r="H120" s="47">
        <f>IF(H50=0,0,(H50-(H20*$B$61*0.01)+H35-H141)/(1+($G$7/100))^7)</f>
        <v>60.98186335075153</v>
      </c>
      <c r="I120" s="47">
        <f>IF(I50=0,0,(I50-(I20*$B$61*0.01)+I35-I141)/(1+($G$7/100))^8)</f>
        <v>740.0711571693148</v>
      </c>
      <c r="J120" s="48">
        <f>+AVERAGE($B$20:$I$20)*(1+(0.01*$B$61))</f>
        <v>715.0000000000001</v>
      </c>
      <c r="K120" s="49">
        <f>+$A$139</f>
        <v>1017.5000000000001</v>
      </c>
      <c r="L120" s="47">
        <f t="shared" si="4"/>
        <v>-816.9638479168327</v>
      </c>
    </row>
    <row r="121" spans="1:12" ht="12.75" hidden="1">
      <c r="A121" s="47">
        <f>+$A$90+($A$90*(0.02*$B$62))</f>
        <v>-333</v>
      </c>
      <c r="B121" s="47">
        <f>IF(B50=0,0,(B50-(B20*$B$61*0.01)+B35-B146)/(1+($G$7/100)))</f>
        <v>-981.631067961165</v>
      </c>
      <c r="C121" s="47">
        <f>IF(C50=0,0,(C50-(C20*$B$61*0.01)+C35-C146)/(1+($G$7/100))^2)</f>
        <v>-272.4856254123858</v>
      </c>
      <c r="D121" s="47">
        <f>IF(D50=0,0,(D50-(D20*$B$61*0.01)+D35-D146)/(1+($G$7/100))^3)</f>
        <v>-243.50089272068868</v>
      </c>
      <c r="E121" s="47">
        <f>IF(E50=0,0,(E50-(E20*$B$61*0.01)+E35-E146)/(1+($G$7/100))^4)</f>
        <v>26.65461143747067</v>
      </c>
      <c r="F121" s="47">
        <f>IF(F50=0,0,(F50-(F20*$B$61*0.01)+F35-F146)/(1+($G$7/100))^5)</f>
        <v>44.855656787976535</v>
      </c>
      <c r="G121" s="47">
        <f>IF(G50=0,0,(G50-(G20*$B$61*0.01)+G35-G146)/(1+($G$7/100))^6)</f>
        <v>43.54918134755003</v>
      </c>
      <c r="H121" s="47">
        <f>IF(H50=0,0,(H50-(H20*$B$61*0.01)+H35-H146)/(1+($G$7/100))^7)</f>
        <v>60.98186335075153</v>
      </c>
      <c r="I121" s="47">
        <f>IF(I50=0,0,(I50-(I20*$B$61*0.01)+I35-I146)/(1+($G$7/100))^8)</f>
        <v>740.0711571693148</v>
      </c>
      <c r="J121" s="48">
        <f>+AVERAGE($B$20:$I$20)*(1+(0.01*$B$61))</f>
        <v>715.0000000000001</v>
      </c>
      <c r="K121" s="49">
        <f>+$A$144</f>
        <v>1110</v>
      </c>
      <c r="L121" s="47">
        <f t="shared" si="4"/>
        <v>-914.5051160011756</v>
      </c>
    </row>
    <row r="122" spans="1:12" ht="12.75" hidden="1">
      <c r="A122" s="47">
        <f>+$A$90-($A$90*(0.02*$B$62))</f>
        <v>-222</v>
      </c>
      <c r="B122" s="47">
        <f>IF(B50=0,0,(B50-(B20*($B$61*0.02))+B35-B131)/(1+($G$7/100)))</f>
        <v>-948.9126213592233</v>
      </c>
      <c r="C122" s="47">
        <f>IF(C50=0,0,(C50-(C20*($B$61*0.02))+C35-C131)/(1+($G$7/100))^2)</f>
        <v>-240.72014327457822</v>
      </c>
      <c r="D122" s="47">
        <f>IF(D50=0,0,(D50-(D20*($B$61*0.02))+D35-D131)/(1+($G$7/100))^3)</f>
        <v>-212.6606188004872</v>
      </c>
      <c r="E122" s="47">
        <f>IF(E50=0,0,(E50-(E20*($B$61*0.02))+E35-E131)/(1+($G$7/100))^4)</f>
        <v>-31.097046677049114</v>
      </c>
      <c r="F122" s="47">
        <f>IF(F50=0,0,(F50-(F20*($B$61*0.02))+F35-F131)/(1+($G$7/100))^5)</f>
        <v>-11.213914196994134</v>
      </c>
      <c r="G122" s="47">
        <f>IF(G50=0,0,(G50-(G20*($B$61*0.02))+G35-G131)/(1+($G$7/100))^6)</f>
        <v>-10.887295336887508</v>
      </c>
      <c r="H122" s="47">
        <f>IF(H50=0,0,(H50-(H20*($B$61*0.02))+H35-H131)/(1+($G$7/100))^7)</f>
        <v>8.130915113433538</v>
      </c>
      <c r="I122" s="47">
        <f>IF(I50=0,0,(I50-(I20*($B$61*0.02))+I35-I131)/(1+($G$7/100))^8)</f>
        <v>688.759556938909</v>
      </c>
      <c r="J122" s="48">
        <f>+AVERAGE($B$20:$I$20)*(1+(0.02*$B$61))</f>
        <v>780</v>
      </c>
      <c r="K122" s="49">
        <f>+$A$129</f>
        <v>740</v>
      </c>
      <c r="L122" s="47">
        <f t="shared" si="4"/>
        <v>-980.6011675928772</v>
      </c>
    </row>
    <row r="123" spans="1:12" ht="12.75" hidden="1">
      <c r="A123" s="47">
        <f>+$A$90-($A$90*(0.01*$B$62))</f>
        <v>-249.75</v>
      </c>
      <c r="B123" s="47">
        <f>IF(B50=0,0,(B50-(B20*($B$61*0.02))+B35-B136)/(1+($G$7/100)))</f>
        <v>-972.8737864077669</v>
      </c>
      <c r="C123" s="47">
        <f>IF(C50=0,0,(C50-(C20*($B$61*0.02))+C35-C136)/(1+($G$7/100))^2)</f>
        <v>-263.9739843529079</v>
      </c>
      <c r="D123" s="47">
        <f>IF(D50=0,0,(D50-(D20*($B$61*0.02))+D35-D136)/(1+($G$7/100))^3)</f>
        <v>-235.2463149533232</v>
      </c>
      <c r="E123" s="47">
        <f>IF(E50=0,0,(E50-(E20*($B$61*0.02))+E35-E136)/(1+($G$7/100))^4)</f>
        <v>-31.097046677049114</v>
      </c>
      <c r="F123" s="47">
        <f>IF(F50=0,0,(F50-(F20*($B$61*0.02))+F35-F136)/(1+($G$7/100))^5)</f>
        <v>-11.213914196994134</v>
      </c>
      <c r="G123" s="47">
        <f>IF(G50=0,0,(G50-(G20*($B$61*0.02))+G35-G136)/(1+($G$7/100))^6)</f>
        <v>-10.887295336887508</v>
      </c>
      <c r="H123" s="47">
        <f>IF(H50=0,0,(H50-(H20*($B$61*0.02))+H35-H136)/(1+($G$7/100))^7)</f>
        <v>8.130915113433538</v>
      </c>
      <c r="I123" s="47">
        <f>IF(I50=0,0,(I50-(I20*($B$61*0.02))+I35-I136)/(1+($G$7/100))^8)</f>
        <v>688.759556938909</v>
      </c>
      <c r="J123" s="48">
        <f>+AVERAGE($B$20:$I$20)*(1+(0.02*$B$61))</f>
        <v>780</v>
      </c>
      <c r="K123" s="49">
        <f>+$A$134</f>
        <v>832.5</v>
      </c>
      <c r="L123" s="47">
        <f t="shared" si="4"/>
        <v>-1078.1518698725863</v>
      </c>
    </row>
    <row r="124" spans="1:12" ht="12.75" hidden="1">
      <c r="A124" s="47">
        <f>+$A$90-($A$90*(0*$B$62))</f>
        <v>-277.5</v>
      </c>
      <c r="B124" s="47">
        <f>IF(B50=0,0,(B50-(B20*($B$61*0.02)))/(1+($G$7/100)))</f>
        <v>-996.8349514563107</v>
      </c>
      <c r="C124" s="47">
        <f>IF(C50=0,0,(C50-(C20*($B$61*0.02)))/(1+($G$7/100))^2)</f>
        <v>-287.237251390329</v>
      </c>
      <c r="D124" s="47">
        <f>IF(D50=0,0,(D50-(D20*($B$61*0.02)))/(1+($G$7/100))^3)</f>
        <v>-257.8228596895657</v>
      </c>
      <c r="E124" s="47">
        <f>IF(E50=0,0,(E50-(E20*($B$61*0.02)))/(1+($G$7/100))^4)</f>
        <v>-31.097046677049114</v>
      </c>
      <c r="F124" s="47">
        <f>IF(F50=0,0,(F50-(F20*($B$61*0.02)))/(1+($G$7/100))^5)</f>
        <v>-11.213914196994134</v>
      </c>
      <c r="G124" s="47">
        <f>IF(G50=0,0,(G50-(G20*($B$61*0.02)))/(1+($G$7/100))^6)</f>
        <v>-10.887295336887508</v>
      </c>
      <c r="H124" s="47">
        <f>IF(H50=0,0,(H50-(H20*($B$61*0.02)))/(1+($G$7/100))^7)</f>
        <v>8.130915113433538</v>
      </c>
      <c r="I124" s="47">
        <f>IF(I50=0,0,(I50-(I20*($B$61*0.02)))/(1+($G$7/100))^8)</f>
        <v>688.759556938909</v>
      </c>
      <c r="J124" s="48">
        <f>+AVERAGE($B$20:$I$20)*(1+(0.02*$B$61))</f>
        <v>780</v>
      </c>
      <c r="K124" s="49">
        <f>+$B$7</f>
        <v>925</v>
      </c>
      <c r="L124" s="47">
        <f t="shared" si="4"/>
        <v>-1175.7028466947936</v>
      </c>
    </row>
    <row r="125" spans="1:12" ht="12.75" hidden="1">
      <c r="A125" s="47">
        <f>+$A$90+($A$90*(0.01*$B$62))</f>
        <v>-305.25</v>
      </c>
      <c r="B125" s="47">
        <f>IF(B50=0,0,(B50-(B20*($B$61*0.02))+B35-B141)/(1+($G$7/100)))</f>
        <v>-1020.7864077669904</v>
      </c>
      <c r="C125" s="47">
        <f>IF(C50=0,0,(C50-(C20*($B$61*0.02))+C35-C141)/(1+($G$7/100))^2)</f>
        <v>-310.4910924686588</v>
      </c>
      <c r="D125" s="47">
        <f>IF(D50=0,0,(D50-(D20*($B$61*0.02))+D35-D141)/(1+($G$7/100))^3)</f>
        <v>-280.40855584240165</v>
      </c>
      <c r="E125" s="47">
        <f>IF(E50=0,0,(E50-(E20*($B$61*0.02))+E35-E141)/(1+($G$7/100))^4)</f>
        <v>-31.097046677049114</v>
      </c>
      <c r="F125" s="47">
        <f>IF(F50=0,0,(F50-(F20*($B$61*0.02))+F35-F141)/(1+($G$7/100))^5)</f>
        <v>-11.213914196994134</v>
      </c>
      <c r="G125" s="47">
        <f>IF(G50=0,0,(G50-(G20*($B$61*0.02))+G35-G141)/(1+($G$7/100))^6)</f>
        <v>-10.887295336887508</v>
      </c>
      <c r="H125" s="47">
        <f>IF(H50=0,0,(H50-(H20*($B$61*0.02))+H35-H141)/(1+($G$7/100))^7)</f>
        <v>8.130915113433538</v>
      </c>
      <c r="I125" s="47">
        <f>IF(I50=0,0,(I50-(I20*($B$61*0.02))+I35-I141)/(1+($G$7/100))^8)</f>
        <v>688.759556938909</v>
      </c>
      <c r="J125" s="48">
        <f>+AVERAGE($B$20:$I$20)*(1+(0.02*$B$61))</f>
        <v>780</v>
      </c>
      <c r="K125" s="49">
        <f>+$A$139</f>
        <v>1017.5000000000001</v>
      </c>
      <c r="L125" s="47">
        <f t="shared" si="4"/>
        <v>-1273.2438402366392</v>
      </c>
    </row>
    <row r="126" spans="1:12" ht="12.75" hidden="1">
      <c r="A126" s="47">
        <f>+$A$90+($A$90*(0.02*$B$62))</f>
        <v>-333</v>
      </c>
      <c r="B126" s="47">
        <f>IF(B50=0,0,(B50-(B20*($B$61*0.02))+B35-B146)/(1+($G$7/100)))</f>
        <v>-1044.7378640776699</v>
      </c>
      <c r="C126" s="47">
        <f>IF(C50=0,0,(C50-(C20*($B$61*0.02))+C35-C146)/(1+($G$7/100))^2)</f>
        <v>-333.7543595060798</v>
      </c>
      <c r="D126" s="47">
        <f>IF(D50=0,0,(D50-(D20*($B$61*0.02))+D35-D146)/(1+($G$7/100))^3)</f>
        <v>-302.98510057864405</v>
      </c>
      <c r="E126" s="47">
        <f>IF(E50=0,0,(E50-(E20*($B$61*0.02))+E35-E146)/(1+($G$7/100))^4)</f>
        <v>-31.097046677049114</v>
      </c>
      <c r="F126" s="47">
        <f>IF(F50=0,0,(F50-(F20*($B$61*0.02))+F35-F146)/(1+($G$7/100))^5)</f>
        <v>-11.213914196994134</v>
      </c>
      <c r="G126" s="47">
        <f>IF(G50=0,0,(G50-(G20*($B$61*0.02))+G35-G146)/(1+($G$7/100))^6)</f>
        <v>-10.887295336887508</v>
      </c>
      <c r="H126" s="47">
        <f>IF(H50=0,0,(H50-(H20*($B$61*0.02))+H35-H146)/(1+($G$7/100))^7)</f>
        <v>8.130915113433538</v>
      </c>
      <c r="I126" s="47">
        <f>IF(I50=0,0,(I50-(I20*($B$61*0.02))+I35-I146)/(1+($G$7/100))^8)</f>
        <v>688.759556938909</v>
      </c>
      <c r="J126" s="48">
        <f>+AVERAGE($B$20:$I$20)*(1+(0.02*$B$61))</f>
        <v>780</v>
      </c>
      <c r="K126" s="49">
        <f>+$A$144</f>
        <v>1110</v>
      </c>
      <c r="L126" s="47">
        <f t="shared" si="4"/>
        <v>-1370.7851083209816</v>
      </c>
    </row>
    <row r="127" ht="12.75" hidden="1"/>
    <row r="128" ht="12.75" hidden="1"/>
    <row r="129" spans="1:9" ht="12.75" hidden="1">
      <c r="A129">
        <f>+B7*(1-(0.02*B62))</f>
        <v>740</v>
      </c>
      <c r="B129" s="47">
        <f>IF($G$6&lt;1,0,IF($B$29&gt;=1,ROUND(IPMT($B$31*0.01,1,$B$29,-(((1-$B$27*0.01)*$A$129))),2),0))</f>
        <v>36.26</v>
      </c>
      <c r="C129" s="47">
        <f>IF($G$6&lt;2,0,IF($B$29&gt;=2,ROUND(IPMT($B$31*0.01,2,$B$29,-(((1-$B$27*0.01)*$A$129))),2),0))</f>
        <v>24.98</v>
      </c>
      <c r="D129" s="47">
        <f>IF($G$6&lt;3,0,IF($B$29&gt;=3,ROUND(IPMT($B$31*0.01,3,$B$29,-(((1-$B$27*0.01)*$A$129))),2),0))</f>
        <v>12.91</v>
      </c>
      <c r="E129" s="47">
        <f>IF($G$6&lt;4,0,IF($B$29&gt;=4,ROUND(IPMT($B$31*0.01,4,$B$29,-(((1-$B$27*0.01)*$A$129))),2),0))</f>
        <v>0</v>
      </c>
      <c r="F129" s="47">
        <f>IF($G$6&lt;5,0,IF($B$29&gt;=5,ROUND(IPMT($B$31*0.01,5,$B$29,-(((1-$B$27*0.01)*$A$129))),2),0))</f>
        <v>0</v>
      </c>
      <c r="G129" s="47">
        <f>IF($G$6&lt;6,0,IF($B$29&gt;=6,ROUND(IPMT($B$31*0.01,6,$B$29,-(((1-$B$27*0.01)*$A$129))),2),0))</f>
        <v>0</v>
      </c>
      <c r="H129" s="47">
        <f>IF($G$6&lt;7,0,IF($B$29&gt;=7,ROUND(IPMT($B$31*0.01,7,$B$29,-(((1-$B$27*0.01)*$A$129))),2),0))</f>
        <v>0</v>
      </c>
      <c r="I129" s="47"/>
    </row>
    <row r="130" spans="2:8" ht="12.75" hidden="1">
      <c r="B130" s="47">
        <f>IF($G$6=1,SUM(B132:H132),IF($G$6&gt;1,+B132,0))</f>
        <v>161.12</v>
      </c>
      <c r="C130" s="47">
        <f>IF($G$6=2,SUM(C132:H132),IF($G$6&gt;2,+C132,0))</f>
        <v>172.4</v>
      </c>
      <c r="D130" s="47">
        <f>IF($G$6=3,SUM(D132:H132),IF($G$6&gt;3,+D132,0))</f>
        <v>184.47</v>
      </c>
      <c r="E130" s="47">
        <f>IF($G$6=4,SUM(E132:H132),IF($G$6&gt;4,+E132,0))</f>
        <v>0</v>
      </c>
      <c r="F130" s="47">
        <f>IF($G$6=5,SUM(F132:H132),IF($G$6&gt;5,+F132,0))</f>
        <v>0</v>
      </c>
      <c r="G130" s="47">
        <f>IF($G$6=6,SUM(G132:H132),IF($G$6&gt;6,+G132,0))</f>
        <v>0</v>
      </c>
      <c r="H130" s="47">
        <f>+H132</f>
        <v>0</v>
      </c>
    </row>
    <row r="131" spans="2:8" ht="12.75" hidden="1">
      <c r="B131" s="47">
        <f>IF($G$6&gt;=1,+B129+B130,0)</f>
        <v>197.38</v>
      </c>
      <c r="C131" s="47">
        <f>IF($G$6&gt;=2,+C129+C130,0)</f>
        <v>197.38</v>
      </c>
      <c r="D131" s="47">
        <f>IF($G$6&gt;=3,+D129+D130,0)</f>
        <v>197.38</v>
      </c>
      <c r="E131" s="47">
        <f>IF($G$6&gt;=4,+E129+E130,0)</f>
        <v>0</v>
      </c>
      <c r="F131" s="47">
        <f>IF($G$6&gt;=5,+F129+F130,0)</f>
        <v>0</v>
      </c>
      <c r="G131" s="47">
        <f>IF($G$6&gt;=6,+G129+G130,0)</f>
        <v>0</v>
      </c>
      <c r="H131" s="47">
        <f>IF($G$6&gt;=7,+H129+H130,0)</f>
        <v>0</v>
      </c>
    </row>
    <row r="132" spans="2:8" ht="12.75" hidden="1">
      <c r="B132" s="47">
        <f>IF($B$29&gt;=1,ROUND(PPMT($B$31*0.01,1,$B$29,-(((1-$B$27*0.01)*$A$129))),2),0)</f>
        <v>161.12</v>
      </c>
      <c r="C132" s="47">
        <f>IF($B$29&gt;=2,ROUND(PPMT($B$31*0.01,2,$B$29,-(((1-$B$27*0.01)*$A$129))),2),0)</f>
        <v>172.4</v>
      </c>
      <c r="D132" s="47">
        <f>IF($B$29&gt;=3,ROUND(PPMT($B$31*0.01,3,$B$29,-(((1-$B$27*0.01)*$A$129))),2),0)</f>
        <v>184.47</v>
      </c>
      <c r="E132" s="47">
        <f>IF($B$29&gt;=4,ROUND(PPMT($B$31*0.01,4,$B$29,-(((1-$B$27*0.01)*$A$129))),2),0)</f>
        <v>0</v>
      </c>
      <c r="F132" s="47">
        <f>IF($B$29&gt;=5,ROUND(PPMT($B$31*0.01,5,$B$29,-(((1-$B$27*0.01)*$A$129))),2),0)</f>
        <v>0</v>
      </c>
      <c r="G132" s="47">
        <f>IF($B$29&gt;=6,ROUND(PPMT($B$31*0.01,6,$B$29,-(((1-$B$27*0.01)*$A$129))),2),0)</f>
        <v>0</v>
      </c>
      <c r="H132" s="47">
        <f>IF($B$29&gt;=7,ROUND(PPMT($B$31*0.01,7,$B$29,-(((1-$B$27*0.01)*$A$129))),2),0)</f>
        <v>0</v>
      </c>
    </row>
    <row r="133" ht="12.75" hidden="1"/>
    <row r="134" spans="1:8" ht="12.75" hidden="1">
      <c r="A134">
        <f>+B7*(1-(0.01*B62))</f>
        <v>832.5</v>
      </c>
      <c r="B134" s="47">
        <f>IF($G$6&lt;1,0,IF($B$29&gt;=1,ROUND(IPMT($B$31*0.01,1,$B$29,-(((1-$B$27*0.01)*$A$134))),2),0))</f>
        <v>40.79</v>
      </c>
      <c r="C134" s="47">
        <f>IF($G$6&lt;2,0,IF($B$29&gt;=2,ROUND(IPMT($B$31*0.01,2,$B$29,-(((1-$B$27*0.01)*$A$134))),2),0))</f>
        <v>28.1</v>
      </c>
      <c r="D134" s="47">
        <f>IF($G$6&lt;3,0,IF($B$29&gt;=3,ROUND(IPMT($B$31*0.01,3,$B$29,-(((1-$B$27*0.01)*$A$134))),2),0))</f>
        <v>14.53</v>
      </c>
      <c r="E134" s="47">
        <f>IF($G$6&lt;4,0,IF($B$29&gt;=4,ROUND(IPMT($B$31*0.01,4,$B$29,-(((1-$B$27*0.01)*$A$134))),2),0))</f>
        <v>0</v>
      </c>
      <c r="F134" s="47">
        <f>IF($G$6&lt;5,0,IF($B$29&gt;=5,ROUND(IPMT($B$31*0.01,5,$B$29,-(((1-$B$27*0.01)*$A$134))),2),0))</f>
        <v>0</v>
      </c>
      <c r="G134" s="47">
        <f>IF($G$6&lt;6,0,IF($B$29&gt;=6,ROUND(IPMT($B$31*0.01,6,$B$29,-(((1-$B$27*0.01)*$A$134))),2),0))</f>
        <v>0</v>
      </c>
      <c r="H134" s="47">
        <f>IF($G$6&lt;7,0,IF($B$29&gt;=7,ROUND(IPMT($B$31*0.01,7,$B$29,-(((1-$B$27*0.01)*$A$134))),2),0))</f>
        <v>0</v>
      </c>
    </row>
    <row r="135" spans="2:8" ht="12.75" hidden="1">
      <c r="B135" s="47">
        <f>IF($G$6=1,SUM(B137:H137),IF($G$6&gt;1,+B137,0))</f>
        <v>181.27</v>
      </c>
      <c r="C135" s="47">
        <f>IF($G$6=2,SUM(C137:H137),IF($G$6&gt;2,+C137,0))</f>
        <v>193.95</v>
      </c>
      <c r="D135" s="47">
        <f>IF($G$6=3,SUM(D137:H137),IF($G$6&gt;3,+D137,0))</f>
        <v>207.53</v>
      </c>
      <c r="E135" s="47">
        <f>IF($G$6=4,SUM(E137:H137),IF($G$6&gt;4,+E137,0))</f>
        <v>0</v>
      </c>
      <c r="F135" s="47">
        <f>IF($G$6=5,SUM(F137:H137),IF($G$6&gt;5,+F137,0))</f>
        <v>0</v>
      </c>
      <c r="G135" s="47">
        <f>IF($G$6=6,SUM(G137:H137),IF($G$6&gt;6,+G137,0))</f>
        <v>0</v>
      </c>
      <c r="H135" s="47">
        <f>+H137</f>
        <v>0</v>
      </c>
    </row>
    <row r="136" spans="2:8" ht="12.75" hidden="1">
      <c r="B136" s="47">
        <f>IF($G$6&gt;=1,+B134+B135,0)</f>
        <v>222.06</v>
      </c>
      <c r="C136" s="47">
        <f>IF($G$6&gt;=2,+C134+C135,0)</f>
        <v>222.04999999999998</v>
      </c>
      <c r="D136" s="47">
        <f>IF($G$6&gt;=3,+D134+D135,0)</f>
        <v>222.06</v>
      </c>
      <c r="E136" s="47">
        <f>IF($G$6&gt;=4,+E134+E135,0)</f>
        <v>0</v>
      </c>
      <c r="F136" s="47">
        <f>IF($G$6&gt;=5,+F134+F135,0)</f>
        <v>0</v>
      </c>
      <c r="G136" s="47">
        <f>IF($G$6&gt;=6,+G134+G135,0)</f>
        <v>0</v>
      </c>
      <c r="H136" s="47">
        <f>IF($G$6&gt;=7,+H134+H135,0)</f>
        <v>0</v>
      </c>
    </row>
    <row r="137" spans="2:8" ht="12.75" hidden="1">
      <c r="B137" s="47">
        <f>IF($B$29&gt;=1,ROUND(PPMT($B$31*0.01,1,$B$29,-(((1-$B$27*0.01)*$A$134))),2),0)</f>
        <v>181.27</v>
      </c>
      <c r="C137" s="47">
        <f>IF($B$29&gt;=2,ROUND(PPMT($B$31*0.01,2,$B$29,-(((1-$B$27*0.01)*$A$134))),2),0)</f>
        <v>193.95</v>
      </c>
      <c r="D137" s="47">
        <f>IF($B$29&gt;=3,ROUND(PPMT($B$31*0.01,3,$B$29,-(((1-$B$27*0.01)*$A$134))),2),0)</f>
        <v>207.53</v>
      </c>
      <c r="E137" s="47">
        <f>IF($B$29&gt;=4,ROUND(PPMT($B$31*0.01,4,$B$29,-(((1-$B$27*0.01)*$A$134))),2),0)</f>
        <v>0</v>
      </c>
      <c r="F137" s="47">
        <f>IF($B$29&gt;=5,ROUND(PPMT($B$31*0.01,5,$B$29,-(((1-$B$27*0.01)*$A$134))),2),0)</f>
        <v>0</v>
      </c>
      <c r="G137" s="47">
        <f>IF($B$29&gt;=6,ROUND(PPMT($B$31*0.01,6,$B$29,-(((1-$B$27*0.01)*$A$134))),2),0)</f>
        <v>0</v>
      </c>
      <c r="H137" s="47">
        <f>IF($B$29&gt;=7,ROUND(PPMT($B$31*0.01,7,$B$29,-(((1-$B$27*0.01)*$A$134))),2),0)</f>
        <v>0</v>
      </c>
    </row>
    <row r="138" ht="12.75" hidden="1"/>
    <row r="139" spans="1:8" ht="12.75" hidden="1">
      <c r="A139">
        <f>+B7*(1+(0.01*B62))</f>
        <v>1017.5000000000001</v>
      </c>
      <c r="B139" s="47">
        <f>IF($G$6&lt;1,0,IF($B$29&gt;=1,ROUND(IPMT($B$31*0.01,1,$B$29,-(((1-$B$27*0.01)*$A$139))),2),0))</f>
        <v>49.86</v>
      </c>
      <c r="C139" s="47">
        <f>IF($G$6&lt;2,0,IF($B$29&gt;=2,ROUND(IPMT($B$31*0.01,2,$B$29,-(((1-$B$27*0.01)*$A$139))),2),0))</f>
        <v>34.35</v>
      </c>
      <c r="D139" s="47">
        <f>IF($G$6&lt;3,0,IF($B$29&gt;=3,ROUND(IPMT($B$31*0.01,3,$B$29,-(((1-$B$27*0.01)*$A$139))),2),0))</f>
        <v>17.76</v>
      </c>
      <c r="E139" s="47">
        <f>IF($G$6&lt;4,0,IF($B$29&gt;=4,ROUND(IPMT($B$31*0.01,4,$B$29,-(((1-$B$27*0.01)*$A$139))),2),0))</f>
        <v>0</v>
      </c>
      <c r="F139" s="47">
        <f>IF($G$6&lt;5,0,IF($B$29&gt;=5,ROUND(IPMT($B$31*0.01,5,$B$29,-(((1-$B$27*0.01)*$A$139))),2),0))</f>
        <v>0</v>
      </c>
      <c r="G139" s="47">
        <f>IF($G$6&lt;6,0,IF($B$29&gt;=6,ROUND(IPMT($B$31*0.01,6,$B$29,-(((1-$B$27*0.01)*$A$139))),2),0))</f>
        <v>0</v>
      </c>
      <c r="H139" s="47">
        <f>IF($G$6&lt;7,0,IF($B$29&gt;=7,ROUND(IPMT($B$31*0.01,7,$B$29,-(((1-$B$27*0.01)*$A$139))),2),0))</f>
        <v>0</v>
      </c>
    </row>
    <row r="140" spans="2:8" ht="12.75" hidden="1">
      <c r="B140" s="47">
        <f>IF($G$6=1,SUM(B142:H142),IF($G$6&gt;1,+B142,0))</f>
        <v>221.55</v>
      </c>
      <c r="C140" s="47">
        <f>IF($G$6=2,SUM(C142:H142),IF($G$6&gt;2,+C142,0))</f>
        <v>237.05</v>
      </c>
      <c r="D140" s="47">
        <f>IF($G$6=3,SUM(D142:H142),IF($G$6&gt;3,+D142,0))</f>
        <v>253.65</v>
      </c>
      <c r="E140" s="47">
        <f>IF($G$6=4,SUM(E142:H142),IF($G$6&gt;4,+E142,0))</f>
        <v>0</v>
      </c>
      <c r="F140" s="47">
        <f>IF($G$6=5,SUM(F142:H142),IF($G$6&gt;5,+F142,0))</f>
        <v>0</v>
      </c>
      <c r="G140" s="47">
        <f>IF($G$6=6,SUM(G142:H142),IF($G$6&gt;6,+G142,0))</f>
        <v>0</v>
      </c>
      <c r="H140" s="47">
        <f>+H142</f>
        <v>0</v>
      </c>
    </row>
    <row r="141" spans="2:8" ht="12.75" hidden="1">
      <c r="B141" s="47">
        <f>IF($G$6&gt;=1,+B139+B140,0)</f>
        <v>271.41</v>
      </c>
      <c r="C141" s="47">
        <f>IF($G$6&gt;=2,+C139+C140,0)</f>
        <v>271.40000000000003</v>
      </c>
      <c r="D141" s="47">
        <f>IF($G$6&gt;=3,+D139+D140,0)</f>
        <v>271.41</v>
      </c>
      <c r="E141" s="47">
        <f>IF($G$6&gt;=4,+E139+E140,0)</f>
        <v>0</v>
      </c>
      <c r="F141" s="47">
        <f>IF($G$6&gt;=5,+F139+F140,0)</f>
        <v>0</v>
      </c>
      <c r="G141" s="47">
        <f>IF($G$6&gt;=6,+G139+G140,0)</f>
        <v>0</v>
      </c>
      <c r="H141" s="47">
        <f>IF($G$6&gt;=7,+H139+H140,0)</f>
        <v>0</v>
      </c>
    </row>
    <row r="142" spans="2:8" ht="12.75" hidden="1">
      <c r="B142" s="47">
        <f>IF($B$29&gt;=1,ROUND(PPMT($B$31*0.01,1,$B$29,-(((1-$B$27*0.01)*$A$139))),2),0)</f>
        <v>221.55</v>
      </c>
      <c r="C142" s="47">
        <f>IF($B$29&gt;=2,ROUND(PPMT($B$31*0.01,2,$B$29,-(((1-$B$27*0.01)*$A$139))),2),0)</f>
        <v>237.05</v>
      </c>
      <c r="D142" s="47">
        <f>IF($B$29&gt;=3,ROUND(PPMT($B$31*0.01,3,$B$29,-(((1-$B$27*0.01)*$A$139))),2),0)</f>
        <v>253.65</v>
      </c>
      <c r="E142" s="47">
        <f>IF($B$29&gt;=4,ROUND(PPMT($B$31*0.01,4,$B$29,-(((1-$B$27*0.01)*$A$139))),2),0)</f>
        <v>0</v>
      </c>
      <c r="F142" s="47">
        <f>IF($B$29&gt;=5,ROUND(PPMT($B$31*0.01,5,$B$29,-(((1-$B$27*0.01)*$A$139))),2),0)</f>
        <v>0</v>
      </c>
      <c r="G142" s="47">
        <f>IF($B$29&gt;=6,ROUND(PPMT($B$31*0.01,6,$B$29,-(((1-$B$27*0.01)*$A$139))),2),0)</f>
        <v>0</v>
      </c>
      <c r="H142" s="47">
        <f>IF($B$29&gt;=7,ROUND(PPMT($B$31*0.01,7,$B$29,-(((1-$B$27*0.01)*$A$139))),2),0)</f>
        <v>0</v>
      </c>
    </row>
    <row r="143" ht="12.75" hidden="1"/>
    <row r="144" spans="1:8" ht="12.75" hidden="1">
      <c r="A144">
        <f>+B7*(1+(0.02*B62))</f>
        <v>1110</v>
      </c>
      <c r="B144" s="47">
        <f>IF($G$6&lt;1,0,IF($B$29&gt;=1,ROUND(IPMT($B$31*0.01,1,$B$29,-(((1-$B$27*0.01)*$A$144))),2),0))</f>
        <v>54.39</v>
      </c>
      <c r="C144" s="47">
        <f>IF($G$6&lt;2,0,IF($B$29&gt;=2,ROUND(IPMT($B$31*0.01,2,$B$29,-(((1-$B$27*0.01)*$A$144))),2),0))</f>
        <v>37.47</v>
      </c>
      <c r="D144" s="47">
        <f>IF($G$6&lt;3,0,IF($B$29&gt;=3,ROUND(IPMT($B$31*0.01,3,$B$29,-(((1-$B$27*0.01)*$A$144))),2),0))</f>
        <v>19.37</v>
      </c>
      <c r="E144" s="47">
        <f>IF($G$6&lt;4,0,IF($B$29&gt;=4,ROUND(IPMT($B$31*0.01,4,$B$29,-(((1-$B$27*0.01)*$A$144))),2),0))</f>
        <v>0</v>
      </c>
      <c r="F144" s="47">
        <f>IF($G$6&lt;5,0,IF($B$29&gt;=5,ROUND(IPMT($B$31*0.01,5,$B$29,-(((1-$B$27*0.01)*$A$144))),2),0))</f>
        <v>0</v>
      </c>
      <c r="G144" s="47">
        <f>IF($G$6&lt;6,0,IF($B$29&gt;=6,ROUND(IPMT($B$31*0.01,6,$B$29,-(((1-$B$27*0.01)*$A$144))),2),0))</f>
        <v>0</v>
      </c>
      <c r="H144" s="47">
        <f>IF($G$6&lt;7,0,IF($B$29&gt;=7,ROUND(IPMT($B$31*0.01,7,$B$29,-(((1-$B$27*0.01)*$A$144))),2),0))</f>
        <v>0</v>
      </c>
    </row>
    <row r="145" spans="2:8" ht="12.75" hidden="1">
      <c r="B145" s="47">
        <f>IF($G$6=1,SUM(B147:H147),IF($G$6&gt;1,+B147,0))</f>
        <v>241.69</v>
      </c>
      <c r="C145" s="47">
        <f>IF($G$6=2,SUM(C147:H147),IF($G$6&gt;2,+C147,0))</f>
        <v>258.61</v>
      </c>
      <c r="D145" s="47">
        <f>IF($G$6=3,SUM(D147:H147),IF($G$6&gt;3,+D147,0))</f>
        <v>276.71</v>
      </c>
      <c r="E145" s="47">
        <f>IF($G$6=4,SUM(E147:H147),IF($G$6&gt;4,+E147,0))</f>
        <v>0</v>
      </c>
      <c r="F145" s="47">
        <f>IF($G$6=5,SUM(F147:H147),IF($G$6&gt;5,+F147,0))</f>
        <v>0</v>
      </c>
      <c r="G145" s="47">
        <f>IF($G$6=6,SUM(G147:H147),IF($G$6&gt;6,+G147,0))</f>
        <v>0</v>
      </c>
      <c r="H145" s="47">
        <f>+H147</f>
        <v>0</v>
      </c>
    </row>
    <row r="146" spans="2:8" ht="12.75" hidden="1">
      <c r="B146" s="47">
        <f>IF($G$6&gt;=1,+B144+B145,0)</f>
        <v>296.08</v>
      </c>
      <c r="C146" s="47">
        <f>IF($G$6&gt;=2,+C144+C145,0)</f>
        <v>296.08000000000004</v>
      </c>
      <c r="D146" s="47">
        <f>IF($G$6&gt;=3,+D144+D145,0)</f>
        <v>296.08</v>
      </c>
      <c r="E146" s="47">
        <f>IF($G$6&gt;=4,+E144+E145,0)</f>
        <v>0</v>
      </c>
      <c r="F146" s="47">
        <f>IF($G$6&gt;=5,+F144+F145,0)</f>
        <v>0</v>
      </c>
      <c r="G146" s="47">
        <f>IF($G$6&gt;=6,+G144+G145,0)</f>
        <v>0</v>
      </c>
      <c r="H146" s="47">
        <f>IF($G$6&gt;=7,+H144+H145,0)</f>
        <v>0</v>
      </c>
    </row>
    <row r="147" spans="2:8" ht="12.75" hidden="1">
      <c r="B147" s="47">
        <f>IF($B$29&gt;=1,ROUND(PPMT($B$31*0.01,1,$B$29,-(((1-$B$27*0.01)*$A$144))),2),0)</f>
        <v>241.69</v>
      </c>
      <c r="C147" s="47">
        <f>IF($B$29&gt;=2,ROUND(PPMT($B$31*0.01,2,$B$29,-(((1-$B$27*0.01)*$A$144))),2),0)</f>
        <v>258.61</v>
      </c>
      <c r="D147" s="47">
        <f>IF($B$29&gt;=3,ROUND(PPMT($B$31*0.01,3,$B$29,-(((1-$B$27*0.01)*$A$144))),2),0)</f>
        <v>276.71</v>
      </c>
      <c r="E147" s="47">
        <f>IF($B$29&gt;=4,ROUND(PPMT($B$31*0.01,4,$B$29,-(((1-$B$27*0.01)*$A$144))),2),0)</f>
        <v>0</v>
      </c>
      <c r="F147" s="47">
        <f>IF($B$29&gt;=5,ROUND(PPMT($B$31*0.01,5,$B$29,-(((1-$B$27*0.01)*$A$144))),2),0)</f>
        <v>0</v>
      </c>
      <c r="G147" s="47">
        <f>IF($B$29&gt;=6,ROUND(PPMT($B$31*0.01,6,$B$29,-(((1-$B$27*0.01)*$A$144))),2),0)</f>
        <v>0</v>
      </c>
      <c r="H147" s="47">
        <f>IF($B$29&gt;=7,ROUND(PPMT($B$31*0.01,7,$B$29,-(((1-$B$27*0.01)*$A$144))),2),0)</f>
        <v>0</v>
      </c>
    </row>
  </sheetData>
  <sheetProtection sheet="1"/>
  <mergeCells count="3">
    <mergeCell ref="A2:I3"/>
    <mergeCell ref="N8:R8"/>
    <mergeCell ref="C66:G66"/>
  </mergeCells>
  <printOptions/>
  <pageMargins left="0.75" right="0.75" top="1" bottom="1" header="0.5" footer="0.5"/>
  <pageSetup fitToHeight="1" fitToWidth="1" horizontalDpi="600" verticalDpi="600" orientation="portrait" scale="53" r:id="rId4"/>
  <headerFooter alignWithMargins="0">
    <oddFooter>&amp;LFilename:  &amp;F&amp;C&amp;D, &amp;T&amp;RPage 1 of 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McGrann</dc:creator>
  <cp:keywords/>
  <dc:description/>
  <cp:lastModifiedBy>Sahs, Roger Vaughn</cp:lastModifiedBy>
  <cp:lastPrinted>2014-01-15T20:25:03Z</cp:lastPrinted>
  <dcterms:created xsi:type="dcterms:W3CDTF">2000-06-24T22:22:02Z</dcterms:created>
  <dcterms:modified xsi:type="dcterms:W3CDTF">2019-03-13T14:21:32Z</dcterms:modified>
  <cp:category/>
  <cp:version/>
  <cp:contentType/>
  <cp:contentStatus/>
</cp:coreProperties>
</file>