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Breakeven Fl Calc" sheetId="1" r:id="rId1"/>
  </sheets>
  <definedNames>
    <definedName name="\d">'Breakeven Fl Calc'!$K$2</definedName>
    <definedName name="_Regression_Int" localSheetId="0" hidden="1">1</definedName>
    <definedName name="_xlnm.Print_Area" localSheetId="0">'Breakeven Fl Calc'!$A$1:$H$53</definedName>
    <definedName name="Print_Area_MI" localSheetId="0">'Breakeven Fl Calc'!$A$1:$H$59</definedName>
  </definedNames>
  <calcPr fullCalcOnLoad="1" iterate="1" iterateCount="12" iterateDelta="0.001"/>
</workbook>
</file>

<file path=xl/sharedStrings.xml><?xml version="1.0" encoding="utf-8"?>
<sst xmlns="http://schemas.openxmlformats.org/spreadsheetml/2006/main" count="92" uniqueCount="72">
  <si>
    <t>OSU FEEDLOT CALCULATOR TO ESTIMATE BREAKEVEN PURCHASE COST.</t>
  </si>
  <si>
    <t>{GETLABEL "ENTER STARTING DATE IN THE FOLLOWING FORMAT (MM/DD/YY): ",K4}~</t>
  </si>
  <si>
    <t>STARTING DATE---&gt;&gt;</t>
  </si>
  <si>
    <t>(INPUTS)</t>
  </si>
  <si>
    <t/>
  </si>
  <si>
    <t>FEED/GN</t>
  </si>
  <si>
    <t>MET SZ</t>
  </si>
  <si>
    <t>GAIN</t>
  </si>
  <si>
    <t>LARGE-FRAME BULL CALVES AND COMPENSATING LARGE-FRAME YEARLING STEERS.</t>
  </si>
  <si>
    <t>LARGE-FRAME HEIFER CALVES AND COMPENSATING MEDIUM-FRAME YEARLING HEIFERS.</t>
  </si>
  <si>
    <t>LARGE-FRAME STEER CALVES AND COMPENSATING MEDIUM-FRAME YEARLING STEERS.</t>
  </si>
  <si>
    <t>MEDIUM-FRAME BULLS.</t>
  </si>
  <si>
    <t>MEDIUM-FRAME HEIFER CALVES.</t>
  </si>
  <si>
    <t>MEDIUM-FRAME STEER CALVES.</t>
  </si>
  <si>
    <t>NRC 74 STEER EQUATION.</t>
  </si>
  <si>
    <t>NRC 74 HEIFER EQUATION.</t>
  </si>
  <si>
    <t>Breakeven Purchase Cost ($)</t>
  </si>
  <si>
    <t>Purchase Weight (lbs)</t>
  </si>
  <si>
    <t>Days on Feed</t>
  </si>
  <si>
    <t>Animal Sex &amp; Type</t>
  </si>
  <si>
    <t>Fixed Feed Markup per Ton of DM</t>
  </si>
  <si>
    <t>Corn Dry Matter %</t>
  </si>
  <si>
    <t>Cattle Selling Price ($) per CWT</t>
  </si>
  <si>
    <t xml:space="preserve">  Corn Price per Bu.</t>
  </si>
  <si>
    <t xml:space="preserve">    Ration NEg</t>
  </si>
  <si>
    <t xml:space="preserve">    Ration NEm</t>
  </si>
  <si>
    <t xml:space="preserve">    (Average Energy for Feeding Period)</t>
  </si>
  <si>
    <t xml:space="preserve">  Feed Cost on a Dry Matter Basis</t>
  </si>
  <si>
    <t xml:space="preserve">  Mean Feeding Weight</t>
  </si>
  <si>
    <t>Percent Cattle Equity</t>
  </si>
  <si>
    <t>Cattle Interest Rate (%)</t>
  </si>
  <si>
    <t>Freight to Feedlot ($) per Head</t>
  </si>
  <si>
    <t>Death Loss (%)</t>
  </si>
  <si>
    <t>Medical Cost per Head ($)</t>
  </si>
  <si>
    <t>Beef Check Off ($)</t>
  </si>
  <si>
    <t>Other Cost per Head ($)</t>
  </si>
  <si>
    <t>Profit Objective per Head ($)</t>
  </si>
  <si>
    <t>Yardage Cost per Day ($)</t>
  </si>
  <si>
    <t>Daily Feed Intake (Dry Matter Pounds)</t>
  </si>
  <si>
    <t>Estimated Daily Gain (Pay to Pay)</t>
  </si>
  <si>
    <t>Operating Capital Interest (%)</t>
  </si>
  <si>
    <t>Total Cost $</t>
  </si>
  <si>
    <t>Cost / Day</t>
  </si>
  <si>
    <t>Projected Sale Date--&gt;</t>
  </si>
  <si>
    <t>Daily Gain (lbs)</t>
  </si>
  <si>
    <t>Feed per Pound of Gain</t>
  </si>
  <si>
    <t>Cost of Gain (Feedlot)</t>
  </si>
  <si>
    <t>Cost of Gain (Total)</t>
  </si>
  <si>
    <t>Projected Selling Weight</t>
  </si>
  <si>
    <t>Total Dollars Returned</t>
  </si>
  <si>
    <t>Total Less Original Cattle Cost</t>
  </si>
  <si>
    <t>Break-Even Selling Price</t>
  </si>
  <si>
    <t>Profit or Loss per Head</t>
  </si>
  <si>
    <t>Return on Equity at Risk</t>
  </si>
  <si>
    <t>Break-Even Purchase Cost</t>
  </si>
  <si>
    <t xml:space="preserve">   Your</t>
  </si>
  <si>
    <t xml:space="preserve">    Values</t>
  </si>
  <si>
    <t xml:space="preserve">  Net Energy Projections</t>
  </si>
  <si>
    <t>Feed Cost per Head</t>
  </si>
  <si>
    <t>Non Feed Total</t>
  </si>
  <si>
    <t xml:space="preserve">Total Cost </t>
  </si>
  <si>
    <t>Ration price is computed assuming that the ration is 100% corn plus the fixed markup per ton of</t>
  </si>
  <si>
    <t>dry matter.    The latter includes the feed markup plus the costs of supplement and additives.</t>
  </si>
  <si>
    <t>Corn dry matter is the purchase basis for the corn.    All calculations to determine the breakeven</t>
  </si>
  <si>
    <t>purchase price of the cattle use the data in the column 'using net energy values.    The 'your</t>
  </si>
  <si>
    <t>values' column uses the purchase price shown at the top sheet generated from the energy values</t>
  </si>
  <si>
    <t>column.</t>
  </si>
  <si>
    <t xml:space="preserve">         Using</t>
  </si>
  <si>
    <t>Copyright 1999.     Oklahoma Board of Regents for A&amp;M Colleges.    All rights reserved.</t>
  </si>
  <si>
    <t>Enter starting date ('mm/dd/yy)-----&gt;</t>
  </si>
  <si>
    <t>Developed by Donald Gill &amp; David Lalman,Oklahoma State University 1999.   Revised 04/24/01</t>
  </si>
  <si>
    <t>12/04/03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</si>
</sst>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</numFmts>
  <fonts count="6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 locked="0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>
      <alignment horizontal="fill"/>
      <protection/>
    </xf>
    <xf numFmtId="7" fontId="1" fillId="0" borderId="0" xfId="0" applyNumberFormat="1" applyFont="1" applyAlignment="1" applyProtection="1">
      <alignment/>
      <protection/>
    </xf>
    <xf numFmtId="7" fontId="3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fill"/>
      <protection locked="0"/>
    </xf>
    <xf numFmtId="0" fontId="3" fillId="0" borderId="0" xfId="0" applyFont="1" applyAlignment="1" applyProtection="1">
      <alignment horizontal="right"/>
      <protection locked="0"/>
    </xf>
    <xf numFmtId="7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 applyProtection="1">
      <alignment/>
      <protection/>
    </xf>
    <xf numFmtId="165" fontId="3" fillId="0" borderId="1" xfId="0" applyNumberFormat="1" applyFont="1" applyBorder="1" applyAlignment="1" applyProtection="1">
      <alignment/>
      <protection locked="0"/>
    </xf>
    <xf numFmtId="7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0" fontId="1" fillId="0" borderId="1" xfId="0" applyFont="1" applyBorder="1" applyAlignment="1" applyProtection="1" quotePrefix="1">
      <alignment horizontal="left"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Alignment="1" quotePrefix="1">
      <alignment horizontal="left"/>
    </xf>
    <xf numFmtId="164" fontId="1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7" fontId="5" fillId="0" borderId="0" xfId="0" applyNumberFormat="1" applyFont="1" applyAlignment="1" applyProtection="1">
      <alignment/>
      <protection locked="0"/>
    </xf>
    <xf numFmtId="165" fontId="5" fillId="0" borderId="0" xfId="0" applyNumberFormat="1" applyFont="1" applyAlignment="1" applyProtection="1">
      <alignment/>
      <protection locked="0"/>
    </xf>
    <xf numFmtId="0" fontId="4" fillId="0" borderId="1" xfId="0" applyFont="1" applyBorder="1" applyAlignment="1" applyProtection="1">
      <alignment horizontal="left"/>
      <protection/>
    </xf>
    <xf numFmtId="7" fontId="5" fillId="0" borderId="1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/>
    </xf>
    <xf numFmtId="7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22"/>
  <sheetViews>
    <sheetView showGridLines="0" tabSelected="1" zoomScale="90" zoomScaleNormal="90" workbookViewId="0" topLeftCell="A1">
      <selection activeCell="A1" sqref="A1"/>
    </sheetView>
  </sheetViews>
  <sheetFormatPr defaultColWidth="9.625" defaultRowHeight="12.75"/>
  <cols>
    <col min="1" max="1" width="10.375" style="0" customWidth="1"/>
    <col min="2" max="2" width="7.00390625" style="0" customWidth="1"/>
    <col min="3" max="3" width="12.50390625" style="0" customWidth="1"/>
    <col min="4" max="4" width="10.00390625" style="0" customWidth="1"/>
    <col min="5" max="5" width="8.625" style="0" customWidth="1"/>
    <col min="6" max="6" width="8.875" style="0" customWidth="1"/>
    <col min="7" max="7" width="11.75390625" style="0" customWidth="1"/>
    <col min="8" max="8" width="13.875" style="0" customWidth="1"/>
  </cols>
  <sheetData>
    <row r="1" spans="1:8" ht="12.75">
      <c r="A1" s="28" t="s">
        <v>0</v>
      </c>
      <c r="B1" s="31"/>
      <c r="C1" s="31"/>
      <c r="D1" s="31"/>
      <c r="E1" s="31"/>
      <c r="F1" s="31"/>
      <c r="G1" s="31"/>
      <c r="H1" s="7"/>
    </row>
    <row r="2" spans="1:11" ht="12.75">
      <c r="A2" s="26" t="s">
        <v>69</v>
      </c>
      <c r="B2" s="8"/>
      <c r="C2" s="7"/>
      <c r="D2" s="39" t="s">
        <v>71</v>
      </c>
      <c r="E2" s="7"/>
      <c r="F2" s="7"/>
      <c r="G2" s="7"/>
      <c r="H2" s="7"/>
      <c r="K2" s="1" t="s">
        <v>1</v>
      </c>
    </row>
    <row r="3" spans="1:8" ht="12.75">
      <c r="A3" s="7"/>
      <c r="B3" s="7"/>
      <c r="C3" s="7"/>
      <c r="D3" s="7"/>
      <c r="E3" s="7"/>
      <c r="F3" s="6" t="s">
        <v>2</v>
      </c>
      <c r="G3" s="7"/>
      <c r="H3" s="27">
        <f>DATEVALUE(D2)</f>
        <v>37959</v>
      </c>
    </row>
    <row r="4" spans="1:11" ht="12.75">
      <c r="A4" s="25" t="str">
        <f>VLOOKUP(D8,K26:M33,3)</f>
        <v>MEDIUM-FRAME STEER CALVES.</v>
      </c>
      <c r="B4" s="19"/>
      <c r="C4" s="19"/>
      <c r="D4" s="19"/>
      <c r="E4" s="19"/>
      <c r="F4" s="19"/>
      <c r="G4" s="19"/>
      <c r="H4" s="19"/>
      <c r="K4" s="5"/>
    </row>
    <row r="5" spans="1:8" ht="12.75">
      <c r="A5" s="6" t="s">
        <v>16</v>
      </c>
      <c r="B5" s="6"/>
      <c r="C5" s="6"/>
      <c r="D5" s="10">
        <f>K16</f>
        <v>105.40575077168981</v>
      </c>
      <c r="E5" s="28" t="s">
        <v>23</v>
      </c>
      <c r="F5" s="28"/>
      <c r="G5" s="28"/>
      <c r="H5" s="32">
        <v>3</v>
      </c>
    </row>
    <row r="6" spans="1:8" ht="12.75">
      <c r="A6" s="28" t="s">
        <v>17</v>
      </c>
      <c r="B6" s="28"/>
      <c r="C6" s="28"/>
      <c r="D6" s="30">
        <v>703</v>
      </c>
      <c r="E6" s="36" t="s">
        <v>25</v>
      </c>
      <c r="F6" s="28"/>
      <c r="G6" s="28"/>
      <c r="H6" s="33">
        <v>96</v>
      </c>
    </row>
    <row r="7" spans="1:8" ht="12.75">
      <c r="A7" s="28" t="s">
        <v>18</v>
      </c>
      <c r="B7" s="28"/>
      <c r="C7" s="28"/>
      <c r="D7" s="30">
        <v>140</v>
      </c>
      <c r="E7" s="36" t="s">
        <v>24</v>
      </c>
      <c r="F7" s="28"/>
      <c r="G7" s="28"/>
      <c r="H7" s="33">
        <v>62</v>
      </c>
    </row>
    <row r="8" spans="1:11" ht="12.75">
      <c r="A8" s="28" t="s">
        <v>19</v>
      </c>
      <c r="B8" s="31"/>
      <c r="C8" s="31"/>
      <c r="D8" s="30">
        <v>6</v>
      </c>
      <c r="E8" s="6" t="s">
        <v>26</v>
      </c>
      <c r="F8" s="6"/>
      <c r="G8" s="6"/>
      <c r="H8" s="6"/>
      <c r="K8" s="4"/>
    </row>
    <row r="9" spans="1:12" ht="12.75">
      <c r="A9" s="28" t="s">
        <v>20</v>
      </c>
      <c r="B9" s="31"/>
      <c r="C9" s="31"/>
      <c r="D9" s="32">
        <v>27.5</v>
      </c>
      <c r="E9" s="6"/>
      <c r="F9" s="9"/>
      <c r="G9" s="9"/>
      <c r="H9" s="9"/>
      <c r="K9" s="2">
        <v>150</v>
      </c>
      <c r="L9" s="2">
        <v>750</v>
      </c>
    </row>
    <row r="10" spans="1:12" ht="12.75">
      <c r="A10" s="28" t="s">
        <v>21</v>
      </c>
      <c r="B10" s="31"/>
      <c r="C10" s="31"/>
      <c r="D10" s="33">
        <v>84.5</v>
      </c>
      <c r="E10" s="8" t="s">
        <v>27</v>
      </c>
      <c r="F10" s="6"/>
      <c r="G10" s="6"/>
      <c r="H10" s="10">
        <f>(((H5/0.56)/(D10/100))*20)+D9</f>
        <v>154.29628064243448</v>
      </c>
      <c r="K10" s="2">
        <f>(H11^0.75)</f>
        <v>169.55876972475212</v>
      </c>
      <c r="L10" s="2">
        <f>(H11)</f>
        <v>938.4842943283221</v>
      </c>
    </row>
    <row r="11" spans="1:12" ht="12.75">
      <c r="A11" s="34" t="s">
        <v>22</v>
      </c>
      <c r="B11" s="34"/>
      <c r="C11" s="34"/>
      <c r="D11" s="35">
        <v>86</v>
      </c>
      <c r="E11" s="18" t="s">
        <v>28</v>
      </c>
      <c r="F11" s="18"/>
      <c r="G11" s="19"/>
      <c r="H11" s="20">
        <f>((((F37-D6)/2))+D6)</f>
        <v>938.4842943283221</v>
      </c>
      <c r="K11" s="2" t="b">
        <f>ISERR(H11)</f>
        <v>0</v>
      </c>
      <c r="L11" s="2" t="b">
        <f>ISERR(H11)</f>
        <v>0</v>
      </c>
    </row>
    <row r="12" spans="1:12" ht="12.75">
      <c r="A12" s="9"/>
      <c r="B12" s="9"/>
      <c r="C12" s="9"/>
      <c r="D12" s="14"/>
      <c r="E12" s="9"/>
      <c r="F12" s="9"/>
      <c r="G12" s="9"/>
      <c r="H12" s="9"/>
      <c r="K12" s="2">
        <f>IF(K11,K9,K10)</f>
        <v>169.55876972475212</v>
      </c>
      <c r="L12" s="2">
        <f>IF(L11,L9,L10)</f>
        <v>938.4842943283221</v>
      </c>
    </row>
    <row r="13" spans="1:8" ht="12.75">
      <c r="A13" s="7"/>
      <c r="B13" s="7"/>
      <c r="C13" s="7"/>
      <c r="D13" s="15" t="s">
        <v>3</v>
      </c>
      <c r="E13" s="6"/>
      <c r="F13" s="8" t="s">
        <v>41</v>
      </c>
      <c r="G13" s="6"/>
      <c r="H13" s="6" t="s">
        <v>42</v>
      </c>
    </row>
    <row r="14" spans="1:11" ht="12.75">
      <c r="A14" s="6" t="s">
        <v>29</v>
      </c>
      <c r="B14" s="7"/>
      <c r="C14" s="7"/>
      <c r="D14" s="12">
        <v>25</v>
      </c>
      <c r="E14" s="7"/>
      <c r="F14" s="16" t="s">
        <v>4</v>
      </c>
      <c r="G14" s="7"/>
      <c r="H14" s="16" t="s">
        <v>4</v>
      </c>
      <c r="K14" s="2">
        <v>50</v>
      </c>
    </row>
    <row r="15" spans="1:11" ht="12.75">
      <c r="A15" s="6" t="s">
        <v>30</v>
      </c>
      <c r="B15" s="6"/>
      <c r="C15" s="6"/>
      <c r="D15" s="12">
        <v>6.5</v>
      </c>
      <c r="E15" s="7"/>
      <c r="F15" s="10">
        <f>((((((D5*D6)/100)+F16)-K18)*((D15/100)))*((D7/360)))</f>
        <v>14.048171083034973</v>
      </c>
      <c r="G15" s="7"/>
      <c r="H15" s="10">
        <f>(F15/D7)</f>
        <v>0.10034407916453551</v>
      </c>
      <c r="K15" s="2" t="b">
        <f>ISERR(D5)</f>
        <v>0</v>
      </c>
    </row>
    <row r="16" spans="1:11" ht="12.75">
      <c r="A16" s="6" t="s">
        <v>31</v>
      </c>
      <c r="B16" s="7"/>
      <c r="C16" s="17"/>
      <c r="D16" s="11">
        <v>0</v>
      </c>
      <c r="E16" s="10"/>
      <c r="F16" s="10">
        <f>D16</f>
        <v>0</v>
      </c>
      <c r="G16" s="10"/>
      <c r="H16" s="10">
        <f>F16/D7</f>
        <v>0</v>
      </c>
      <c r="K16" s="2">
        <f>IF(K15,K14,((F38-F21-F29)/D6)*100)</f>
        <v>105.40575104935105</v>
      </c>
    </row>
    <row r="17" spans="1:11" ht="12.75">
      <c r="A17" s="6" t="s">
        <v>32</v>
      </c>
      <c r="B17" s="6"/>
      <c r="C17" s="6"/>
      <c r="D17" s="12">
        <v>0.75</v>
      </c>
      <c r="E17" s="7"/>
      <c r="F17" s="10">
        <f>(((((D5*D6)/100))+D18)*((D17/100)))</f>
        <v>5.640018209437345</v>
      </c>
      <c r="G17" s="7"/>
      <c r="H17" s="10">
        <f>(F17/D7)</f>
        <v>0.04028584435312389</v>
      </c>
      <c r="K17" s="2">
        <f>(D6/100)*D5</f>
        <v>741.0024279249794</v>
      </c>
    </row>
    <row r="18" spans="1:11" ht="12.75">
      <c r="A18" s="6" t="s">
        <v>33</v>
      </c>
      <c r="B18" s="6"/>
      <c r="C18" s="6"/>
      <c r="D18" s="11">
        <v>11</v>
      </c>
      <c r="E18" s="7"/>
      <c r="F18" s="10">
        <f>D18</f>
        <v>11</v>
      </c>
      <c r="G18" s="7"/>
      <c r="H18" s="10">
        <f>(F18/D7)</f>
        <v>0.07857142857142857</v>
      </c>
      <c r="K18" s="2">
        <f>(K17*D14/100)</f>
        <v>185.25060698124486</v>
      </c>
    </row>
    <row r="19" spans="1:11" ht="12.75">
      <c r="A19" s="6" t="s">
        <v>34</v>
      </c>
      <c r="B19" s="7"/>
      <c r="C19" s="17"/>
      <c r="D19" s="11">
        <v>1</v>
      </c>
      <c r="E19" s="7"/>
      <c r="F19" s="10">
        <f>D19</f>
        <v>1</v>
      </c>
      <c r="G19" s="7"/>
      <c r="H19" s="10">
        <f>(F19/D7)</f>
        <v>0.007142857142857143</v>
      </c>
      <c r="K19" s="3">
        <f>((F38-F21-F29)/D6)*100</f>
        <v>105.40575104935105</v>
      </c>
    </row>
    <row r="20" spans="1:8" ht="12.75">
      <c r="A20" s="6" t="s">
        <v>35</v>
      </c>
      <c r="B20" s="7"/>
      <c r="C20" s="7"/>
      <c r="D20" s="11">
        <v>0</v>
      </c>
      <c r="E20" s="7"/>
      <c r="F20" s="10">
        <f>D20</f>
        <v>0</v>
      </c>
      <c r="G20" s="7"/>
      <c r="H20" s="10">
        <f>(F20/D8)</f>
        <v>0</v>
      </c>
    </row>
    <row r="21" spans="1:8" ht="12.75">
      <c r="A21" s="6" t="s">
        <v>36</v>
      </c>
      <c r="B21" s="7"/>
      <c r="C21" s="7"/>
      <c r="D21" s="11">
        <v>0</v>
      </c>
      <c r="E21" s="10"/>
      <c r="F21" s="10">
        <f>D21</f>
        <v>0</v>
      </c>
      <c r="G21" s="16"/>
      <c r="H21" s="10">
        <f>F21/D7</f>
        <v>0</v>
      </c>
    </row>
    <row r="22" spans="1:13" ht="12.75">
      <c r="A22" s="6" t="s">
        <v>37</v>
      </c>
      <c r="B22" s="6"/>
      <c r="C22" s="6"/>
      <c r="D22" s="11">
        <v>0.05</v>
      </c>
      <c r="E22" s="7"/>
      <c r="F22" s="10">
        <f>(D7*D22)</f>
        <v>7</v>
      </c>
      <c r="G22" s="7"/>
      <c r="H22" s="10">
        <f>(F22/D7)</f>
        <v>0.05</v>
      </c>
      <c r="J22" s="2">
        <f>((D23-(((K12*0.043)/((H6*0.01))))))</f>
        <v>13.405180106078813</v>
      </c>
      <c r="L22" s="1" t="s">
        <v>5</v>
      </c>
      <c r="M22" s="2">
        <f>J22</f>
        <v>13.405180106078813</v>
      </c>
    </row>
    <row r="23" spans="1:13" ht="12.75">
      <c r="A23" s="28" t="s">
        <v>38</v>
      </c>
      <c r="B23" s="28"/>
      <c r="C23" s="28"/>
      <c r="D23" s="33">
        <v>21</v>
      </c>
      <c r="E23" s="7"/>
      <c r="F23" s="16" t="s">
        <v>4</v>
      </c>
      <c r="G23" s="7"/>
      <c r="H23" s="16" t="s">
        <v>4</v>
      </c>
      <c r="J23" s="2">
        <f>((((H10/2000)*D23))*D7)</f>
        <v>226.81553254437867</v>
      </c>
      <c r="L23" s="1" t="s">
        <v>6</v>
      </c>
      <c r="M23" s="2">
        <f>J23</f>
        <v>226.81553254437867</v>
      </c>
    </row>
    <row r="24" spans="1:8" ht="12.75">
      <c r="A24" s="6" t="s">
        <v>39</v>
      </c>
      <c r="B24" s="6"/>
      <c r="C24" s="6"/>
      <c r="D24" s="12">
        <v>3.5</v>
      </c>
      <c r="E24" s="7"/>
      <c r="F24" s="16" t="s">
        <v>4</v>
      </c>
      <c r="G24" s="7"/>
      <c r="H24" s="16" t="s">
        <v>4</v>
      </c>
    </row>
    <row r="25" spans="1:12" ht="12.75">
      <c r="A25" s="18" t="s">
        <v>40</v>
      </c>
      <c r="B25" s="18"/>
      <c r="C25" s="18"/>
      <c r="D25" s="21">
        <v>6.5</v>
      </c>
      <c r="E25" s="19"/>
      <c r="F25" s="22">
        <f>(((SUM(F18:F22)+J23-F21)*((D25/100)))*((D7/720)))</f>
        <v>3.1068352029914528</v>
      </c>
      <c r="G25" s="19"/>
      <c r="H25" s="22">
        <f>(F25/D7)</f>
        <v>0.02219168002136752</v>
      </c>
      <c r="L25" s="1" t="s">
        <v>7</v>
      </c>
    </row>
    <row r="26" spans="1:13" ht="12.75">
      <c r="A26" s="9"/>
      <c r="B26" s="9"/>
      <c r="C26" s="9"/>
      <c r="D26" s="9"/>
      <c r="E26" s="9"/>
      <c r="F26" s="8" t="s">
        <v>41</v>
      </c>
      <c r="G26" s="6"/>
      <c r="H26" s="6" t="s">
        <v>42</v>
      </c>
      <c r="K26" s="2">
        <v>1</v>
      </c>
      <c r="L26" s="2">
        <f>(65.571*((M22*H7/100)^0.9116)*(L12^-0.6837))</f>
        <v>4.195941995017019</v>
      </c>
      <c r="M26" s="1" t="s">
        <v>8</v>
      </c>
    </row>
    <row r="27" spans="1:13" ht="12.75">
      <c r="A27" s="7"/>
      <c r="B27" s="7"/>
      <c r="C27" s="7"/>
      <c r="D27" s="8" t="s">
        <v>59</v>
      </c>
      <c r="E27" s="6"/>
      <c r="F27" s="10">
        <f>SUM(F15:F25)</f>
        <v>41.79502449546377</v>
      </c>
      <c r="G27" s="7"/>
      <c r="H27" s="10">
        <f>SUM(H15:H25)-H21</f>
        <v>0.29853588925331265</v>
      </c>
      <c r="K27" s="2">
        <v>2</v>
      </c>
      <c r="L27" s="2">
        <f>(45.656*((M22*H7/100)^0.8936)*(L12^-0.6702))</f>
        <v>3.084532388691034</v>
      </c>
      <c r="M27" s="1" t="s">
        <v>9</v>
      </c>
    </row>
    <row r="28" spans="1:13" ht="12.75">
      <c r="A28" s="7"/>
      <c r="B28" s="7"/>
      <c r="C28" s="7"/>
      <c r="D28" s="6" t="s">
        <v>58</v>
      </c>
      <c r="E28" s="6"/>
      <c r="F28" s="10">
        <f>J23</f>
        <v>226.81553254437867</v>
      </c>
      <c r="G28" s="7"/>
      <c r="H28" s="10">
        <f>(F28/D7)</f>
        <v>1.6201109467455619</v>
      </c>
      <c r="K28" s="2">
        <v>3</v>
      </c>
      <c r="L28" s="2">
        <f>(58.731*((M22*H7/100)^0.9116)*(L12^-0.6837))</f>
        <v>3.758244792810001</v>
      </c>
      <c r="M28" s="1" t="s">
        <v>10</v>
      </c>
    </row>
    <row r="29" spans="1:13" ht="12.75">
      <c r="A29" s="19"/>
      <c r="B29" s="19"/>
      <c r="C29" s="19"/>
      <c r="D29" s="18" t="s">
        <v>60</v>
      </c>
      <c r="E29" s="18"/>
      <c r="F29" s="22">
        <f>SUM(F27:F28)-F21</f>
        <v>268.61055703984243</v>
      </c>
      <c r="G29" s="19"/>
      <c r="H29" s="22">
        <f>(F29/D7)</f>
        <v>1.9186468359988744</v>
      </c>
      <c r="K29" s="2">
        <v>4</v>
      </c>
      <c r="L29" s="2">
        <f>(58.731*((M22*H7/100)^0.9116)*(L12^-0.6837))</f>
        <v>3.758244792810001</v>
      </c>
      <c r="M29" s="1" t="s">
        <v>11</v>
      </c>
    </row>
    <row r="30" spans="1:13" ht="12.75">
      <c r="A30" s="9"/>
      <c r="B30" s="9"/>
      <c r="C30" s="9"/>
      <c r="D30" s="9"/>
      <c r="E30" s="9"/>
      <c r="F30" s="9"/>
      <c r="G30" s="9"/>
      <c r="H30" s="9"/>
      <c r="K30" s="2">
        <v>5</v>
      </c>
      <c r="L30" s="2">
        <f>(40.982*((M22*H7/100)^0.8936)*(L12^-0.6702))</f>
        <v>2.7687556148882067</v>
      </c>
      <c r="M30" s="1" t="s">
        <v>12</v>
      </c>
    </row>
    <row r="31" spans="1:13" ht="12.75">
      <c r="A31" s="28" t="s">
        <v>43</v>
      </c>
      <c r="B31" s="28"/>
      <c r="C31" s="29">
        <f>DATEVALUE(D7+H3)</f>
        <v>38099</v>
      </c>
      <c r="D31" s="17" t="s">
        <v>55</v>
      </c>
      <c r="E31" s="7"/>
      <c r="F31" s="8" t="s">
        <v>67</v>
      </c>
      <c r="G31" s="6"/>
      <c r="H31" s="17" t="s">
        <v>4</v>
      </c>
      <c r="K31" s="2">
        <v>6</v>
      </c>
      <c r="L31" s="2">
        <f>(52.571*((M22*H7/100)^0.9116)*(L12^-0.6837))</f>
        <v>3.3640613475475396</v>
      </c>
      <c r="M31" s="1" t="s">
        <v>13</v>
      </c>
    </row>
    <row r="32" spans="1:13" ht="12.75">
      <c r="A32" s="7"/>
      <c r="B32" s="7"/>
      <c r="C32" s="7"/>
      <c r="D32" s="23" t="s">
        <v>56</v>
      </c>
      <c r="E32" s="24" t="s">
        <v>57</v>
      </c>
      <c r="F32" s="18"/>
      <c r="G32" s="6"/>
      <c r="H32" s="17" t="s">
        <v>4</v>
      </c>
      <c r="K32" s="2">
        <v>7</v>
      </c>
      <c r="L32" s="2">
        <f>((((((((((((((J22*H7)/100))*0.003112))/K12))+0.00017474))^0.5))-0.01322))/0.001556)</f>
        <v>3.130386262357415</v>
      </c>
      <c r="M32" s="1" t="s">
        <v>14</v>
      </c>
    </row>
    <row r="33" spans="1:13" ht="12.75">
      <c r="A33" s="28" t="s">
        <v>44</v>
      </c>
      <c r="B33" s="28"/>
      <c r="C33" s="31"/>
      <c r="D33" s="38">
        <f>D24</f>
        <v>3.5</v>
      </c>
      <c r="E33" s="38"/>
      <c r="F33" s="38">
        <f>VLOOKUP(D8,K26:M33,2)</f>
        <v>3.3640613475475396</v>
      </c>
      <c r="G33" s="13"/>
      <c r="H33" s="17" t="s">
        <v>4</v>
      </c>
      <c r="K33" s="2">
        <v>8</v>
      </c>
      <c r="L33" s="2">
        <f>((((((((((((((J22*H7)/100))*0.00576))/K12))+0.0001974))^0.5))-0.01405))/0.00288)</f>
        <v>2.7266948447397006</v>
      </c>
      <c r="M33" s="1" t="s">
        <v>15</v>
      </c>
    </row>
    <row r="34" spans="1:11" ht="12.75">
      <c r="A34" s="6" t="s">
        <v>45</v>
      </c>
      <c r="B34" s="7"/>
      <c r="C34" s="7"/>
      <c r="D34" s="13">
        <f>(D23/D33)</f>
        <v>6</v>
      </c>
      <c r="E34" s="13"/>
      <c r="F34" s="13">
        <f>(D23/F33)</f>
        <v>6.242454530536244</v>
      </c>
      <c r="G34" s="13"/>
      <c r="H34" s="17" t="s">
        <v>4</v>
      </c>
      <c r="K34" s="3"/>
    </row>
    <row r="35" spans="1:11" ht="12.75">
      <c r="A35" s="28" t="s">
        <v>46</v>
      </c>
      <c r="B35" s="28"/>
      <c r="C35" s="28"/>
      <c r="D35" s="37">
        <f>(((((F28+F22)+F18))/((D7*D24)))*100)</f>
        <v>49.96235358048544</v>
      </c>
      <c r="E35" s="31"/>
      <c r="F35" s="37">
        <f>(((((F28+F18)+F22))/((D7*F33)))*100)</f>
        <v>51.981286744125846</v>
      </c>
      <c r="G35" s="7"/>
      <c r="H35" s="17" t="s">
        <v>4</v>
      </c>
      <c r="K35" s="3"/>
    </row>
    <row r="36" spans="1:8" ht="12.75">
      <c r="A36" s="28" t="s">
        <v>47</v>
      </c>
      <c r="B36" s="28"/>
      <c r="C36" s="28"/>
      <c r="D36" s="37">
        <f>(((F29)/((D7*D24)))*100)</f>
        <v>54.81848102853927</v>
      </c>
      <c r="E36" s="31"/>
      <c r="F36" s="37">
        <f>((F29/((D7*F33)))*100)</f>
        <v>57.03364587562002</v>
      </c>
      <c r="G36" s="7"/>
      <c r="H36" s="17" t="s">
        <v>4</v>
      </c>
    </row>
    <row r="37" spans="1:8" ht="12.75">
      <c r="A37" s="6" t="s">
        <v>48</v>
      </c>
      <c r="B37" s="6"/>
      <c r="C37" s="6"/>
      <c r="D37" s="13">
        <f>(D6+((D7*D33)))</f>
        <v>1193</v>
      </c>
      <c r="E37" s="13"/>
      <c r="F37" s="13">
        <f>(D6+((D7*F33)))</f>
        <v>1173.9685886566556</v>
      </c>
      <c r="G37" s="13"/>
      <c r="H37" s="17" t="s">
        <v>4</v>
      </c>
    </row>
    <row r="38" spans="1:8" ht="12.75">
      <c r="A38" s="6" t="s">
        <v>49</v>
      </c>
      <c r="B38" s="6"/>
      <c r="C38" s="6"/>
      <c r="D38" s="10">
        <f>((D11*D37)/100)</f>
        <v>1025.98</v>
      </c>
      <c r="E38" s="7"/>
      <c r="F38" s="10">
        <f>((D11*F37)/100)</f>
        <v>1009.6129862447239</v>
      </c>
      <c r="G38" s="7"/>
      <c r="H38" s="17" t="s">
        <v>4</v>
      </c>
    </row>
    <row r="39" spans="1:8" ht="12.75">
      <c r="A39" s="8" t="s">
        <v>50</v>
      </c>
      <c r="B39" s="6"/>
      <c r="C39" s="6"/>
      <c r="D39" s="10">
        <f>(D38-(((D5*D6)/100)))</f>
        <v>284.9775720750206</v>
      </c>
      <c r="E39" s="7"/>
      <c r="F39" s="10">
        <f>(F38-(((D5*D6)/100)))</f>
        <v>268.6105583197444</v>
      </c>
      <c r="G39" s="7"/>
      <c r="H39" s="17" t="s">
        <v>4</v>
      </c>
    </row>
    <row r="40" spans="1:8" ht="12.75">
      <c r="A40" s="6" t="s">
        <v>51</v>
      </c>
      <c r="B40" s="6"/>
      <c r="C40" s="6"/>
      <c r="D40" s="10">
        <f>((((((D5*D6)/100))+F29)/D37)*100)</f>
        <v>84.6280792091217</v>
      </c>
      <c r="E40" s="7"/>
      <c r="F40" s="10">
        <f>((((((D5*D6)/100))+F29)/F37)*100)</f>
        <v>85.99999989097647</v>
      </c>
      <c r="G40" s="6" t="s">
        <v>4</v>
      </c>
      <c r="H40" s="6" t="s">
        <v>4</v>
      </c>
    </row>
    <row r="41" spans="1:8" ht="12.75">
      <c r="A41" s="6" t="s">
        <v>52</v>
      </c>
      <c r="B41" s="6"/>
      <c r="C41" s="6"/>
      <c r="D41" s="10">
        <f>((D38-(((D5*D6)/100)))-F29)</f>
        <v>16.367015035178156</v>
      </c>
      <c r="E41" s="7"/>
      <c r="F41" s="10">
        <f>((F38-(((D5*D6)/100)))-F29)</f>
        <v>1.2799019941667211E-06</v>
      </c>
      <c r="G41" s="7"/>
      <c r="H41" s="17" t="s">
        <v>4</v>
      </c>
    </row>
    <row r="42" spans="1:8" ht="12.75">
      <c r="A42" s="6" t="s">
        <v>53</v>
      </c>
      <c r="B42" s="6"/>
      <c r="C42" s="6"/>
      <c r="D42" s="13">
        <f>(((((D41/K18)*100))/((D7/365))))</f>
        <v>23.034281526556395</v>
      </c>
      <c r="E42" s="13"/>
      <c r="F42" s="13">
        <f>(((((F41/K18)*100))/((D7/365))))</f>
        <v>1.8012828115982905E-06</v>
      </c>
      <c r="G42" s="13"/>
      <c r="H42" s="17" t="s">
        <v>4</v>
      </c>
    </row>
    <row r="43" spans="1:8" ht="12.75">
      <c r="A43" s="24" t="s">
        <v>54</v>
      </c>
      <c r="B43" s="19"/>
      <c r="C43" s="19"/>
      <c r="D43" s="22">
        <f>((D38-F29)/D6)*100</f>
        <v>107.73391791751885</v>
      </c>
      <c r="E43" s="19"/>
      <c r="F43" s="22">
        <f>(K19)</f>
        <v>105.40575104935105</v>
      </c>
      <c r="G43" s="19"/>
      <c r="H43" s="19"/>
    </row>
    <row r="44" spans="1:8" ht="12.75">
      <c r="A44" s="9"/>
      <c r="B44" s="9"/>
      <c r="C44" s="9"/>
      <c r="D44" s="9"/>
      <c r="E44" s="9"/>
      <c r="F44" s="9"/>
      <c r="G44" s="9"/>
      <c r="H44" s="9"/>
    </row>
    <row r="45" spans="1:8" ht="12.75">
      <c r="A45" s="6" t="s">
        <v>61</v>
      </c>
      <c r="B45" s="7"/>
      <c r="C45" s="7"/>
      <c r="D45" s="7"/>
      <c r="E45" s="7"/>
      <c r="F45" s="7"/>
      <c r="G45" s="7"/>
      <c r="H45" s="7"/>
    </row>
    <row r="46" spans="1:8" ht="12.75">
      <c r="A46" s="7" t="s">
        <v>62</v>
      </c>
      <c r="B46" s="7"/>
      <c r="C46" s="7"/>
      <c r="D46" s="7"/>
      <c r="E46" s="7"/>
      <c r="F46" s="7"/>
      <c r="G46" s="7"/>
      <c r="H46" s="7"/>
    </row>
    <row r="47" spans="1:8" ht="12.75">
      <c r="A47" s="8" t="s">
        <v>63</v>
      </c>
      <c r="B47" s="7"/>
      <c r="C47" s="7"/>
      <c r="D47" s="7"/>
      <c r="E47" s="7"/>
      <c r="F47" s="7"/>
      <c r="G47" s="7"/>
      <c r="H47" s="7"/>
    </row>
    <row r="48" spans="1:8" ht="12.75">
      <c r="A48" s="26" t="s">
        <v>64</v>
      </c>
      <c r="B48" s="7"/>
      <c r="C48" s="7"/>
      <c r="D48" s="7"/>
      <c r="E48" s="7"/>
      <c r="F48" s="7"/>
      <c r="G48" s="7"/>
      <c r="H48" s="7"/>
    </row>
    <row r="49" spans="1:8" ht="12.75">
      <c r="A49" s="6" t="s">
        <v>65</v>
      </c>
      <c r="B49" s="7"/>
      <c r="C49" s="7"/>
      <c r="D49" s="7"/>
      <c r="E49" s="7"/>
      <c r="F49" s="7"/>
      <c r="G49" s="7"/>
      <c r="H49" s="7"/>
    </row>
    <row r="50" spans="1:8" ht="12.75">
      <c r="A50" s="6" t="s">
        <v>66</v>
      </c>
      <c r="B50" s="7"/>
      <c r="C50" s="7"/>
      <c r="D50" s="7"/>
      <c r="E50" s="7"/>
      <c r="F50" s="7"/>
      <c r="G50" s="7"/>
      <c r="H50" s="7"/>
    </row>
    <row r="51" spans="1:8" ht="12.75">
      <c r="A51" s="7"/>
      <c r="B51" s="7"/>
      <c r="C51" s="7"/>
      <c r="D51" s="7"/>
      <c r="E51" s="7"/>
      <c r="F51" s="7"/>
      <c r="G51" s="7"/>
      <c r="H51" s="7"/>
    </row>
    <row r="52" spans="1:8" ht="12.75">
      <c r="A52" s="8" t="s">
        <v>70</v>
      </c>
      <c r="B52" s="7"/>
      <c r="C52" s="7"/>
      <c r="D52" s="7"/>
      <c r="E52" s="7"/>
      <c r="F52" s="7"/>
      <c r="G52" s="7"/>
      <c r="H52" s="7"/>
    </row>
    <row r="53" spans="1:8" ht="12.75">
      <c r="A53" s="26" t="s">
        <v>68</v>
      </c>
      <c r="B53" s="7"/>
      <c r="C53" s="7"/>
      <c r="D53" s="7"/>
      <c r="E53" s="7"/>
      <c r="F53" s="7"/>
      <c r="G53" s="7"/>
      <c r="H53" s="7"/>
    </row>
    <row r="54" spans="1:8" ht="12.75">
      <c r="A54" s="6"/>
      <c r="B54" s="7"/>
      <c r="C54" s="7"/>
      <c r="D54" s="7"/>
      <c r="E54" s="7"/>
      <c r="F54" s="7"/>
      <c r="G54" s="7"/>
      <c r="H54" s="7"/>
    </row>
    <row r="55" spans="1:8" ht="12.75">
      <c r="A55" s="6"/>
      <c r="B55" s="7"/>
      <c r="C55" s="7"/>
      <c r="D55" s="7"/>
      <c r="E55" s="7"/>
      <c r="F55" s="7"/>
      <c r="G55" s="7"/>
      <c r="H55" s="7"/>
    </row>
    <row r="56" spans="1:8" ht="12.75">
      <c r="A56" s="6"/>
      <c r="B56" s="7"/>
      <c r="C56" s="7"/>
      <c r="D56" s="7"/>
      <c r="E56" s="7"/>
      <c r="F56" s="7"/>
      <c r="G56" s="7"/>
      <c r="H56" s="7"/>
    </row>
    <row r="57" spans="1:8" ht="12.75">
      <c r="A57" s="7"/>
      <c r="B57" s="7"/>
      <c r="C57" s="7"/>
      <c r="D57" s="7"/>
      <c r="E57" s="7"/>
      <c r="F57" s="7"/>
      <c r="G57" s="7"/>
      <c r="H57" s="7"/>
    </row>
    <row r="58" spans="1:8" ht="12.75">
      <c r="A58" s="6"/>
      <c r="B58" s="7"/>
      <c r="C58" s="7"/>
      <c r="D58" s="7"/>
      <c r="E58" s="7"/>
      <c r="F58" s="7"/>
      <c r="G58" s="7"/>
      <c r="H58" s="7"/>
    </row>
    <row r="59" spans="1:8" ht="12.75">
      <c r="A59" s="6"/>
      <c r="B59" s="6"/>
      <c r="C59" s="7"/>
      <c r="D59" s="7"/>
      <c r="E59" s="7"/>
      <c r="F59" s="7"/>
      <c r="G59" s="7"/>
      <c r="H59" s="7"/>
    </row>
    <row r="107" spans="1:9" ht="12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">
      <c r="A122" s="3"/>
      <c r="B122" s="3"/>
      <c r="C122" s="3"/>
      <c r="D122" s="3"/>
      <c r="E122" s="3"/>
      <c r="F122" s="3"/>
      <c r="G122" s="3"/>
      <c r="H122" s="3"/>
      <c r="I122" s="3"/>
    </row>
  </sheetData>
  <sheetProtection password="C032" sheet="1" objects="1" scenarios="1"/>
  <printOptions/>
  <pageMargins left="0.75" right="0.72" top="1" bottom="1" header="0" footer="0"/>
  <pageSetup horizontalDpi="300" verticalDpi="300" orientation="portrait" scale="87" r:id="rId1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OSU</dc:creator>
  <cp:keywords/>
  <dc:description/>
  <cp:lastModifiedBy>Donald Gill</cp:lastModifiedBy>
  <cp:lastPrinted>2001-04-17T19:54:29Z</cp:lastPrinted>
  <dcterms:created xsi:type="dcterms:W3CDTF">1999-11-17T23:18:00Z</dcterms:created>
  <dcterms:modified xsi:type="dcterms:W3CDTF">2003-12-04T17:06:40Z</dcterms:modified>
  <cp:category/>
  <cp:version/>
  <cp:contentType/>
  <cp:contentStatus/>
</cp:coreProperties>
</file>